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en\Wissen\Papers_Talks_Posters\Arctica elements\"/>
    </mc:Choice>
  </mc:AlternateContent>
  <xr:revisionPtr revIDLastSave="0" documentId="13_ncr:1_{911A4CC5-11CF-481B-9B1A-4A4F856D5599}" xr6:coauthVersionLast="47" xr6:coauthVersionMax="47" xr10:uidLastSave="{00000000-0000-0000-0000-000000000000}"/>
  <bookViews>
    <workbookView xWindow="38290" yWindow="-110" windowWidth="38620" windowHeight="21220" xr2:uid="{CC2DEC25-ED0D-4EB7-B698-DA175498DEF2}"/>
  </bookViews>
  <sheets>
    <sheet name="Contents" sheetId="3" r:id="rId1"/>
    <sheet name="Lattice strain model etc." sheetId="2" r:id="rId2"/>
    <sheet name="Metadata" sheetId="1" r:id="rId3"/>
    <sheet name="SrCa data seawater Icela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163" i="1" l="1"/>
  <c r="CB159" i="1"/>
  <c r="CB160" i="1"/>
  <c r="CB161" i="1"/>
  <c r="CB162" i="1"/>
  <c r="CB154" i="1"/>
  <c r="CB155" i="1"/>
  <c r="CB156" i="1"/>
  <c r="CB157" i="1"/>
  <c r="CB158" i="1"/>
  <c r="BH13" i="2"/>
  <c r="BH12" i="2"/>
  <c r="BH11" i="2"/>
  <c r="BH10" i="2"/>
  <c r="BH8" i="2"/>
  <c r="BH7" i="2"/>
  <c r="CB142" i="1"/>
  <c r="BI13" i="2"/>
  <c r="BI12" i="2"/>
  <c r="BI10" i="2"/>
  <c r="BI8" i="2"/>
  <c r="BI7" i="2"/>
  <c r="BI11" i="2"/>
  <c r="AX7" i="2"/>
  <c r="AW7" i="2"/>
  <c r="BF7" i="2" s="1"/>
  <c r="AW13" i="2"/>
  <c r="DQ6" i="1"/>
  <c r="DM6" i="1"/>
  <c r="BA6" i="2"/>
  <c r="BF13" i="2"/>
  <c r="V11" i="1"/>
  <c r="R11" i="1"/>
  <c r="V4" i="1"/>
  <c r="Y41" i="1"/>
  <c r="BR8" i="2"/>
  <c r="BR7" i="2"/>
  <c r="BP16" i="2"/>
  <c r="BP13" i="2"/>
  <c r="BP12" i="2"/>
  <c r="BR12" i="2" s="1"/>
  <c r="BP11" i="2"/>
  <c r="BR11" i="2" s="1"/>
  <c r="BP10" i="2"/>
  <c r="BR10" i="2" s="1"/>
  <c r="BP8" i="2"/>
  <c r="BP7" i="2"/>
  <c r="BO12" i="2"/>
  <c r="BO11" i="2"/>
  <c r="BO16" i="2"/>
  <c r="BR16" i="2" s="1"/>
  <c r="BO13" i="2"/>
  <c r="BR13" i="2" s="1"/>
  <c r="BO10" i="2"/>
  <c r="BO8" i="2"/>
  <c r="BO7" i="2"/>
  <c r="AX12" i="2"/>
  <c r="AX11" i="2"/>
  <c r="AX16" i="2"/>
  <c r="AX13" i="2"/>
  <c r="AX10" i="2"/>
  <c r="AX8" i="2"/>
  <c r="CI143" i="1"/>
  <c r="CI144" i="1"/>
  <c r="CI145" i="1"/>
  <c r="CI146" i="1"/>
  <c r="CI147" i="1"/>
  <c r="CI148" i="1"/>
  <c r="CI149" i="1"/>
  <c r="CI142" i="1"/>
  <c r="CH143" i="1"/>
  <c r="CH144" i="1"/>
  <c r="CH145" i="1"/>
  <c r="CH146" i="1"/>
  <c r="CH147" i="1"/>
  <c r="CH148" i="1"/>
  <c r="CH149" i="1"/>
  <c r="CG143" i="1"/>
  <c r="CG144" i="1"/>
  <c r="CG145" i="1"/>
  <c r="CG146" i="1"/>
  <c r="CG147" i="1"/>
  <c r="CG148" i="1"/>
  <c r="CG149" i="1"/>
  <c r="CG142" i="1"/>
  <c r="CH142" i="1"/>
  <c r="AW11" i="2"/>
  <c r="AW12" i="2"/>
  <c r="AW16" i="2"/>
  <c r="BF16" i="2" s="1"/>
  <c r="AW10" i="2"/>
  <c r="AW8" i="2"/>
  <c r="AZ8" i="2" s="1"/>
  <c r="BC7" i="2"/>
  <c r="AZ10" i="2" l="1"/>
  <c r="BF11" i="2"/>
  <c r="AZ7" i="2"/>
  <c r="AZ16" i="2"/>
  <c r="AZ12" i="2"/>
  <c r="AZ13" i="2"/>
  <c r="BF12" i="2"/>
  <c r="BF10" i="2"/>
  <c r="AZ11" i="2"/>
  <c r="BF8" i="2"/>
  <c r="M78" i="2"/>
  <c r="CK142" i="1" l="1"/>
  <c r="H15" i="4"/>
  <c r="H14" i="4"/>
  <c r="H13" i="4"/>
  <c r="H12" i="4"/>
  <c r="H11" i="4"/>
  <c r="H7" i="4"/>
  <c r="H6" i="4"/>
  <c r="H5" i="4"/>
  <c r="H4" i="4"/>
  <c r="H3" i="4"/>
  <c r="BD7" i="2" l="1"/>
  <c r="BC16" i="2"/>
  <c r="BD16" i="2" s="1"/>
  <c r="BC13" i="2"/>
  <c r="BD13" i="2" s="1"/>
  <c r="BC12" i="2"/>
  <c r="BD12" i="2" s="1"/>
  <c r="BC11" i="2"/>
  <c r="BD11" i="2" s="1"/>
  <c r="BC10" i="2"/>
  <c r="BD10" i="2" s="1"/>
  <c r="BC8" i="2"/>
  <c r="BD8" i="2" s="1"/>
  <c r="BM21" i="2"/>
  <c r="BM20" i="2"/>
  <c r="BM17" i="2"/>
  <c r="BN17" i="2" s="1"/>
  <c r="BM16" i="2"/>
  <c r="BN16" i="2" s="1"/>
  <c r="BM13" i="2"/>
  <c r="BN13" i="2" s="1"/>
  <c r="BM12" i="2"/>
  <c r="BN12" i="2" s="1"/>
  <c r="BM11" i="2"/>
  <c r="BN11" i="2" s="1"/>
  <c r="BM10" i="2"/>
  <c r="BN10" i="2" s="1"/>
  <c r="BM8" i="2"/>
  <c r="BM7" i="2"/>
  <c r="BN7" i="2" s="1"/>
  <c r="CF142" i="1"/>
  <c r="BA7" i="2"/>
  <c r="BA8" i="2"/>
  <c r="BA9" i="2"/>
  <c r="BA10" i="2"/>
  <c r="BA11" i="2"/>
  <c r="BA12" i="2"/>
  <c r="BA13" i="2"/>
  <c r="BA14" i="2"/>
  <c r="BA15" i="2"/>
  <c r="BA16" i="2"/>
  <c r="F87" i="2" l="1"/>
  <c r="AI4" i="1"/>
  <c r="BB16" i="2"/>
  <c r="BB15" i="2"/>
  <c r="BB14" i="2"/>
  <c r="BB13" i="2"/>
  <c r="BB12" i="2"/>
  <c r="BB11" i="2"/>
  <c r="BB10" i="2"/>
  <c r="BB9" i="2"/>
  <c r="BB8" i="2"/>
  <c r="BB7" i="2"/>
  <c r="BB6" i="2"/>
  <c r="DQ13" i="1"/>
  <c r="M79" i="2"/>
  <c r="M80" i="2"/>
  <c r="M81" i="2"/>
  <c r="M82" i="2"/>
  <c r="M83" i="2"/>
  <c r="M84" i="2"/>
  <c r="M85" i="2"/>
  <c r="C78" i="2"/>
  <c r="E78" i="2" s="1"/>
  <c r="I78" i="2" s="1"/>
  <c r="C79" i="2"/>
  <c r="E79" i="2"/>
  <c r="I79" i="2" s="1"/>
  <c r="C80" i="2"/>
  <c r="E80" i="2"/>
  <c r="I80" i="2" s="1"/>
  <c r="C81" i="2"/>
  <c r="E81" i="2" s="1"/>
  <c r="I81" i="2" s="1"/>
  <c r="C82" i="2"/>
  <c r="E82" i="2" s="1"/>
  <c r="I82" i="2" s="1"/>
  <c r="C83" i="2"/>
  <c r="E83" i="2" s="1"/>
  <c r="I83" i="2" s="1"/>
  <c r="C84" i="2"/>
  <c r="E84" i="2" s="1"/>
  <c r="I84" i="2" s="1"/>
  <c r="C85" i="2"/>
  <c r="E85" i="2" s="1"/>
  <c r="I85" i="2" s="1"/>
  <c r="F5" i="1"/>
  <c r="V5" i="1" s="1"/>
  <c r="T16" i="2"/>
  <c r="V16" i="2"/>
  <c r="T8" i="2"/>
  <c r="H18" i="1"/>
  <c r="CA151" i="1" s="1"/>
  <c r="CB151" i="1" s="1"/>
  <c r="F18" i="1"/>
  <c r="H17" i="1"/>
  <c r="CA150" i="1" s="1"/>
  <c r="CB150" i="1" s="1"/>
  <c r="F17" i="1"/>
  <c r="CF149" i="1"/>
  <c r="CL149" i="1" s="1"/>
  <c r="CF148" i="1"/>
  <c r="CL148" i="1" s="1"/>
  <c r="CF151" i="1"/>
  <c r="CF150" i="1"/>
  <c r="BN21" i="2"/>
  <c r="BN20" i="2"/>
  <c r="T21" i="2"/>
  <c r="T20" i="2"/>
  <c r="V21" i="2"/>
  <c r="V20" i="2"/>
  <c r="W16" i="2"/>
  <c r="X16" i="2" s="1"/>
  <c r="V19" i="2"/>
  <c r="V18" i="2"/>
  <c r="V13" i="2"/>
  <c r="V12" i="2"/>
  <c r="V11" i="2"/>
  <c r="V8" i="2"/>
  <c r="AQ16" i="2"/>
  <c r="AQ15" i="2"/>
  <c r="AQ14" i="2"/>
  <c r="AQ13" i="2"/>
  <c r="AQ12" i="2"/>
  <c r="AQ8" i="2"/>
  <c r="AQ11" i="2"/>
  <c r="AQ17" i="2"/>
  <c r="AQ10" i="2"/>
  <c r="AQ7" i="2"/>
  <c r="AQ9" i="2"/>
  <c r="AQ6" i="2"/>
  <c r="Y30" i="2"/>
  <c r="Y27" i="2"/>
  <c r="AB30" i="2"/>
  <c r="AE30" i="2"/>
  <c r="AD30" i="2"/>
  <c r="AJ30" i="2"/>
  <c r="AN17" i="2"/>
  <c r="AN16" i="2"/>
  <c r="AN14" i="2"/>
  <c r="AN13" i="2"/>
  <c r="AN12" i="2"/>
  <c r="AN10" i="2"/>
  <c r="AN8" i="2"/>
  <c r="AN7" i="2"/>
  <c r="AK17" i="2"/>
  <c r="AK16" i="2"/>
  <c r="AK14" i="2"/>
  <c r="AK13" i="2"/>
  <c r="AK12" i="2"/>
  <c r="AK10" i="2"/>
  <c r="AK8" i="2"/>
  <c r="AK7" i="2"/>
  <c r="AH17" i="2"/>
  <c r="AH16" i="2"/>
  <c r="AH14" i="2"/>
  <c r="AH13" i="2"/>
  <c r="AH12" i="2"/>
  <c r="AH10" i="2"/>
  <c r="AH8" i="2"/>
  <c r="AH7" i="2"/>
  <c r="AE17" i="2"/>
  <c r="AE16" i="2"/>
  <c r="AE14" i="2"/>
  <c r="AE13" i="2"/>
  <c r="AE12" i="2"/>
  <c r="AE10" i="2"/>
  <c r="AE8" i="2"/>
  <c r="AE7" i="2"/>
  <c r="T19" i="2"/>
  <c r="T18" i="2"/>
  <c r="T15" i="2"/>
  <c r="T12" i="2"/>
  <c r="T11" i="2"/>
  <c r="T14" i="2"/>
  <c r="T13" i="2"/>
  <c r="Z16" i="2"/>
  <c r="AA30" i="2"/>
  <c r="CL142" i="1"/>
  <c r="W21" i="2" l="1"/>
  <c r="X21" i="2" s="1"/>
  <c r="Y18" i="2"/>
  <c r="Y14" i="2"/>
  <c r="Y15" i="2"/>
  <c r="G78" i="2"/>
  <c r="Y19" i="2"/>
  <c r="Z19" i="2" s="1"/>
  <c r="G85" i="2"/>
  <c r="H85" i="2" s="1"/>
  <c r="J85" i="2" s="1"/>
  <c r="W8" i="2"/>
  <c r="X8" i="2" s="1"/>
  <c r="Y20" i="2"/>
  <c r="Z20" i="2" s="1"/>
  <c r="G84" i="2"/>
  <c r="H84" i="2" s="1"/>
  <c r="J84" i="2" s="1"/>
  <c r="Y8" i="2"/>
  <c r="Z8" i="2" s="1"/>
  <c r="Y21" i="2"/>
  <c r="Z21" i="2" s="1"/>
  <c r="G83" i="2"/>
  <c r="H83" i="2" s="1"/>
  <c r="J83" i="2" s="1"/>
  <c r="W11" i="2"/>
  <c r="X11" i="2" s="1"/>
  <c r="G82" i="2"/>
  <c r="H82" i="2" s="1"/>
  <c r="J82" i="2" s="1"/>
  <c r="G81" i="2"/>
  <c r="H81" i="2" s="1"/>
  <c r="J81" i="2" s="1"/>
  <c r="W12" i="2"/>
  <c r="X12" i="2" s="1"/>
  <c r="W13" i="2"/>
  <c r="X13" i="2" s="1"/>
  <c r="W18" i="2"/>
  <c r="X18" i="2" s="1"/>
  <c r="G79" i="2"/>
  <c r="G80" i="2"/>
  <c r="H80" i="2" s="1"/>
  <c r="J80" i="2" s="1"/>
  <c r="W19" i="2"/>
  <c r="X19" i="2" s="1"/>
  <c r="W20" i="2"/>
  <c r="X20" i="2" s="1"/>
  <c r="Y11" i="2"/>
  <c r="Y12" i="2"/>
  <c r="Z12" i="2" s="1"/>
  <c r="Y13" i="2"/>
  <c r="P5" i="1"/>
  <c r="Z15" i="2"/>
  <c r="Z14" i="2"/>
  <c r="Z11" i="2"/>
  <c r="Z13" i="2"/>
  <c r="Z18" i="2"/>
  <c r="EG8" i="1"/>
  <c r="CE142" i="1"/>
  <c r="CE143" i="1"/>
  <c r="CE144" i="1"/>
  <c r="CE145" i="1"/>
  <c r="CE147" i="1"/>
  <c r="CE148" i="1"/>
  <c r="DK17" i="1"/>
  <c r="CE149" i="1" s="1"/>
  <c r="CD149" i="1"/>
  <c r="DD61" i="1"/>
  <c r="F7" i="1"/>
  <c r="CW9" i="1"/>
  <c r="DN10" i="1" s="1"/>
  <c r="CW4" i="1"/>
  <c r="DN16" i="1" s="1"/>
  <c r="H9" i="1"/>
  <c r="CA146" i="1" s="1"/>
  <c r="CB146" i="1" s="1"/>
  <c r="H13" i="1"/>
  <c r="CW14" i="1" s="1"/>
  <c r="DE42" i="1" s="1"/>
  <c r="H15" i="1"/>
  <c r="H12" i="1"/>
  <c r="CW13" i="1" s="1"/>
  <c r="H10" i="1"/>
  <c r="CA145" i="1" s="1"/>
  <c r="CB145" i="1" s="1"/>
  <c r="H7" i="1"/>
  <c r="CW8" i="1" s="1"/>
  <c r="H14" i="1"/>
  <c r="CA149" i="1" s="1"/>
  <c r="CB149" i="1" s="1"/>
  <c r="H11" i="1"/>
  <c r="CW12" i="1" s="1"/>
  <c r="DR13" i="1" s="1"/>
  <c r="DS13" i="1" s="1"/>
  <c r="DT13" i="1" s="1"/>
  <c r="H4" i="1"/>
  <c r="CW5" i="1" s="1"/>
  <c r="H8" i="1"/>
  <c r="CA143" i="1" s="1"/>
  <c r="CB143" i="1" s="1"/>
  <c r="H6" i="1"/>
  <c r="CA144" i="1" s="1"/>
  <c r="CB144" i="1" s="1"/>
  <c r="H5" i="1"/>
  <c r="CA142" i="1" s="1"/>
  <c r="H3" i="1"/>
  <c r="H79" i="2" l="1"/>
  <c r="J79" i="2" s="1"/>
  <c r="G87" i="2"/>
  <c r="H87" i="2" s="1"/>
  <c r="H78" i="2"/>
  <c r="J78" i="2" s="1"/>
  <c r="DR16" i="1"/>
  <c r="DE37" i="1"/>
  <c r="DR10" i="1"/>
  <c r="DE40" i="1"/>
  <c r="DN13" i="1"/>
  <c r="DN6" i="1"/>
  <c r="DE33" i="1"/>
  <c r="DR6" i="1"/>
  <c r="DN9" i="1"/>
  <c r="DE36" i="1"/>
  <c r="DR9" i="1"/>
  <c r="DE41" i="1"/>
  <c r="DR14" i="1"/>
  <c r="DN14" i="1"/>
  <c r="DN15" i="1"/>
  <c r="CW10" i="1"/>
  <c r="DE43" i="1"/>
  <c r="DR15" i="1"/>
  <c r="CA147" i="1"/>
  <c r="CB147" i="1" s="1"/>
  <c r="L87" i="2"/>
  <c r="CW11" i="1"/>
  <c r="CW7" i="1"/>
  <c r="CA148" i="1"/>
  <c r="CB148" i="1" s="1"/>
  <c r="K87" i="2"/>
  <c r="CW6" i="1"/>
  <c r="CF147" i="1"/>
  <c r="CL147" i="1" s="1"/>
  <c r="CK147" i="1"/>
  <c r="BX114" i="1"/>
  <c r="BX124" i="1" s="1"/>
  <c r="CU100" i="1"/>
  <c r="CU103" i="1"/>
  <c r="CS105" i="1"/>
  <c r="F14" i="1"/>
  <c r="CK149" i="1"/>
  <c r="CA129" i="1"/>
  <c r="EI14" i="1" s="1"/>
  <c r="EM14" i="1" s="1"/>
  <c r="EO14" i="1" s="1"/>
  <c r="CA128" i="1"/>
  <c r="BZ109" i="1"/>
  <c r="BZ108" i="1"/>
  <c r="BZ128" i="1" s="1"/>
  <c r="BY108" i="1"/>
  <c r="BX108" i="1"/>
  <c r="BX128" i="1" s="1"/>
  <c r="BZ115" i="1"/>
  <c r="BZ125" i="1" s="1"/>
  <c r="BZ114" i="1"/>
  <c r="BZ124" i="1" s="1"/>
  <c r="BX115" i="1"/>
  <c r="BX125" i="1" s="1"/>
  <c r="BZ129" i="1"/>
  <c r="BY128" i="1"/>
  <c r="BY115" i="1"/>
  <c r="BY125" i="1" s="1"/>
  <c r="BY114" i="1"/>
  <c r="BY124" i="1" s="1"/>
  <c r="BY109" i="1"/>
  <c r="BY129" i="1" s="1"/>
  <c r="EI13" i="1" s="1"/>
  <c r="BX109" i="1"/>
  <c r="BX129" i="1" s="1"/>
  <c r="EI8" i="1" s="1"/>
  <c r="CM28" i="1"/>
  <c r="CJ28" i="1"/>
  <c r="CN28" i="1"/>
  <c r="CC52" i="1"/>
  <c r="CI52" i="1"/>
  <c r="BW52" i="1"/>
  <c r="CE52" i="1"/>
  <c r="DA139" i="1"/>
  <c r="DA142" i="1" s="1"/>
  <c r="DA141" i="1" s="1"/>
  <c r="CZ139" i="1"/>
  <c r="CZ142" i="1" s="1"/>
  <c r="CZ141" i="1" s="1"/>
  <c r="CR130" i="1"/>
  <c r="CV126" i="1"/>
  <c r="CV127" i="1" s="1"/>
  <c r="CW127" i="1" s="1"/>
  <c r="CV123" i="1"/>
  <c r="CV124" i="1" s="1"/>
  <c r="CX124" i="1" s="1"/>
  <c r="F10" i="1"/>
  <c r="CP135" i="1"/>
  <c r="CP136" i="1" s="1"/>
  <c r="CR127" i="1"/>
  <c r="CQ127" i="1"/>
  <c r="CD72" i="1"/>
  <c r="CC73" i="1"/>
  <c r="CD73" i="1" s="1"/>
  <c r="CA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72" i="1"/>
  <c r="BX79" i="1"/>
  <c r="BX73" i="1"/>
  <c r="BX74" i="1"/>
  <c r="BX75" i="1"/>
  <c r="BX76" i="1"/>
  <c r="BX77" i="1"/>
  <c r="BX78" i="1"/>
  <c r="BX80" i="1"/>
  <c r="BX81" i="1"/>
  <c r="BX82" i="1"/>
  <c r="BX83" i="1"/>
  <c r="BX84" i="1"/>
  <c r="BX85" i="1"/>
  <c r="BX72" i="1"/>
  <c r="BY52" i="1"/>
  <c r="CN29" i="1"/>
  <c r="CP29" i="1" s="1"/>
  <c r="CN30" i="1"/>
  <c r="CP30" i="1" s="1"/>
  <c r="CN31" i="1"/>
  <c r="CN32" i="1"/>
  <c r="CN33" i="1"/>
  <c r="CN34" i="1"/>
  <c r="CN35" i="1"/>
  <c r="CN36" i="1"/>
  <c r="CN37" i="1"/>
  <c r="CM37" i="1"/>
  <c r="CM29" i="1"/>
  <c r="CM30" i="1"/>
  <c r="CM31" i="1"/>
  <c r="CM32" i="1"/>
  <c r="CQ32" i="1" s="1"/>
  <c r="CM33" i="1"/>
  <c r="CM34" i="1"/>
  <c r="CM35" i="1"/>
  <c r="CQ35" i="1" s="1"/>
  <c r="CM36" i="1"/>
  <c r="CL29" i="1"/>
  <c r="CL30" i="1"/>
  <c r="CL31" i="1"/>
  <c r="CL32" i="1"/>
  <c r="CL33" i="1"/>
  <c r="CL34" i="1"/>
  <c r="CL35" i="1"/>
  <c r="CL36" i="1"/>
  <c r="CL37" i="1"/>
  <c r="CL28" i="1"/>
  <c r="CK29" i="1"/>
  <c r="CK30" i="1"/>
  <c r="CK31" i="1"/>
  <c r="CK32" i="1"/>
  <c r="CK33" i="1"/>
  <c r="CK34" i="1"/>
  <c r="CK35" i="1"/>
  <c r="CK36" i="1"/>
  <c r="CK37" i="1"/>
  <c r="CK28" i="1"/>
  <c r="CJ29" i="1"/>
  <c r="CJ30" i="1"/>
  <c r="CJ31" i="1"/>
  <c r="CJ32" i="1"/>
  <c r="CJ33" i="1"/>
  <c r="CJ34" i="1"/>
  <c r="CJ35" i="1"/>
  <c r="CJ36" i="1"/>
  <c r="CJ37" i="1"/>
  <c r="BZ28" i="1"/>
  <c r="CF28" i="1" s="1"/>
  <c r="CN4" i="1"/>
  <c r="CQ135" i="1"/>
  <c r="CE60" i="1"/>
  <c r="CE61" i="1"/>
  <c r="CE62" i="1"/>
  <c r="CE63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72" i="1"/>
  <c r="EG16" i="1"/>
  <c r="EG13" i="1"/>
  <c r="DD6" i="1"/>
  <c r="DF35" i="1"/>
  <c r="DF40" i="1"/>
  <c r="DF43" i="1"/>
  <c r="EF16" i="1" s="1"/>
  <c r="DH41" i="1"/>
  <c r="DF41" i="1" s="1"/>
  <c r="DB41" i="1" s="1"/>
  <c r="DS16" i="1"/>
  <c r="DT16" i="1" s="1"/>
  <c r="DL16" i="1"/>
  <c r="CQ12" i="1"/>
  <c r="CP12" i="1"/>
  <c r="DW14" i="1"/>
  <c r="DX14" i="1" s="1"/>
  <c r="DZ14" i="1" s="1"/>
  <c r="EA14" i="1" s="1"/>
  <c r="DQ7" i="1"/>
  <c r="DQ8" i="1"/>
  <c r="DQ9" i="1"/>
  <c r="DQ10" i="1"/>
  <c r="DS10" i="1" s="1"/>
  <c r="DT10" i="1" s="1"/>
  <c r="DQ11" i="1"/>
  <c r="DQ12" i="1"/>
  <c r="DQ14" i="1"/>
  <c r="DS14" i="1" s="1"/>
  <c r="DT14" i="1" s="1"/>
  <c r="DQ15" i="1"/>
  <c r="DS15" i="1" s="1"/>
  <c r="DT15" i="1" s="1"/>
  <c r="BZ93" i="1"/>
  <c r="BZ95" i="1" s="1"/>
  <c r="DD59" i="1"/>
  <c r="DF59" i="1" s="1"/>
  <c r="DD55" i="1"/>
  <c r="DF55" i="1" s="1"/>
  <c r="DD53" i="1"/>
  <c r="DF53" i="1" s="1"/>
  <c r="DD56" i="1"/>
  <c r="DF56" i="1" s="1"/>
  <c r="DD58" i="1"/>
  <c r="DF58" i="1" s="1"/>
  <c r="DF61" i="1"/>
  <c r="DD60" i="1"/>
  <c r="DF60" i="1" s="1"/>
  <c r="DD57" i="1"/>
  <c r="DF57" i="1" s="1"/>
  <c r="DD50" i="1"/>
  <c r="DF50" i="1" s="1"/>
  <c r="DD54" i="1"/>
  <c r="DF54" i="1" s="1"/>
  <c r="DD52" i="1"/>
  <c r="DF52" i="1" s="1"/>
  <c r="DD51" i="1"/>
  <c r="DF51" i="1" s="1"/>
  <c r="DD49" i="1"/>
  <c r="DF49" i="1" s="1"/>
  <c r="CF143" i="1"/>
  <c r="CL143" i="1" s="1"/>
  <c r="CF144" i="1"/>
  <c r="CL144" i="1" s="1"/>
  <c r="CF145" i="1"/>
  <c r="CL145" i="1" s="1"/>
  <c r="CF146" i="1"/>
  <c r="CL146" i="1" s="1"/>
  <c r="CK143" i="1"/>
  <c r="CK144" i="1"/>
  <c r="CK145" i="1"/>
  <c r="CK146" i="1"/>
  <c r="CK148" i="1"/>
  <c r="DD11" i="1"/>
  <c r="DM11" i="1" s="1"/>
  <c r="DD12" i="1"/>
  <c r="DM12" i="1" s="1"/>
  <c r="DD14" i="1"/>
  <c r="DM14" i="1" s="1"/>
  <c r="DL14" i="1" s="1"/>
  <c r="DD15" i="1"/>
  <c r="DM15" i="1" s="1"/>
  <c r="DD18" i="1"/>
  <c r="DE18" i="1" s="1"/>
  <c r="DD7" i="1"/>
  <c r="DM7" i="1" s="1"/>
  <c r="DD8" i="1"/>
  <c r="DM8" i="1" s="1"/>
  <c r="DD9" i="1"/>
  <c r="DM9" i="1" s="1"/>
  <c r="DL9" i="1" s="1"/>
  <c r="DD10" i="1"/>
  <c r="DM10" i="1" s="1"/>
  <c r="DL10" i="1" s="1"/>
  <c r="DD13" i="1"/>
  <c r="F4" i="1"/>
  <c r="CN5" i="1"/>
  <c r="CO5" i="1"/>
  <c r="CP5" i="1"/>
  <c r="CN6" i="1"/>
  <c r="CO6" i="1"/>
  <c r="CP6" i="1"/>
  <c r="CN7" i="1"/>
  <c r="CO7" i="1"/>
  <c r="CP7" i="1"/>
  <c r="CN8" i="1"/>
  <c r="CO8" i="1"/>
  <c r="CP8" i="1"/>
  <c r="CN9" i="1"/>
  <c r="CO9" i="1"/>
  <c r="CP9" i="1"/>
  <c r="CN10" i="1"/>
  <c r="CO10" i="1"/>
  <c r="CP10" i="1"/>
  <c r="CN11" i="1"/>
  <c r="CO11" i="1"/>
  <c r="CP11" i="1"/>
  <c r="CN12" i="1"/>
  <c r="CO12" i="1"/>
  <c r="CN13" i="1"/>
  <c r="CO13" i="1"/>
  <c r="CP13" i="1"/>
  <c r="CO4" i="1"/>
  <c r="CP4" i="1"/>
  <c r="CS4" i="1"/>
  <c r="CS5" i="1"/>
  <c r="CS6" i="1"/>
  <c r="CS7" i="1"/>
  <c r="CS8" i="1"/>
  <c r="CS9" i="1"/>
  <c r="CS10" i="1"/>
  <c r="CS11" i="1"/>
  <c r="CS12" i="1"/>
  <c r="CS13" i="1"/>
  <c r="CS14" i="1"/>
  <c r="CR14" i="1"/>
  <c r="CL14" i="1"/>
  <c r="DJ16" i="1" s="1"/>
  <c r="CD147" i="1" s="1"/>
  <c r="CJ14" i="1"/>
  <c r="CL4" i="1"/>
  <c r="DJ6" i="1" s="1"/>
  <c r="DK6" i="1" s="1"/>
  <c r="CL5" i="1"/>
  <c r="DJ7" i="1" s="1"/>
  <c r="CD142" i="1" s="1"/>
  <c r="CL6" i="1"/>
  <c r="DJ8" i="1" s="1"/>
  <c r="CD144" i="1" s="1"/>
  <c r="CL7" i="1"/>
  <c r="DJ9" i="1" s="1"/>
  <c r="DK9" i="1" s="1"/>
  <c r="CL8" i="1"/>
  <c r="DJ10" i="1" s="1"/>
  <c r="CD143" i="1" s="1"/>
  <c r="CL9" i="1"/>
  <c r="DJ11" i="1" s="1"/>
  <c r="CL10" i="1"/>
  <c r="DJ12" i="1" s="1"/>
  <c r="CD145" i="1" s="1"/>
  <c r="CL11" i="1"/>
  <c r="DJ13" i="1" s="1"/>
  <c r="CD148" i="1" s="1"/>
  <c r="CL12" i="1"/>
  <c r="DJ14" i="1" s="1"/>
  <c r="CL13" i="1"/>
  <c r="DJ15" i="1" s="1"/>
  <c r="CJ4" i="1"/>
  <c r="CJ5" i="1"/>
  <c r="CJ6" i="1"/>
  <c r="CJ7" i="1"/>
  <c r="CJ8" i="1"/>
  <c r="CJ9" i="1"/>
  <c r="CJ10" i="1"/>
  <c r="CJ11" i="1"/>
  <c r="CJ12" i="1"/>
  <c r="CJ13" i="1"/>
  <c r="CR4" i="1"/>
  <c r="CR5" i="1"/>
  <c r="CR6" i="1"/>
  <c r="CR7" i="1"/>
  <c r="CR8" i="1"/>
  <c r="CR9" i="1"/>
  <c r="CR10" i="1"/>
  <c r="CR11" i="1"/>
  <c r="CR12" i="1"/>
  <c r="CR13" i="1"/>
  <c r="BG105" i="1"/>
  <c r="BM105" i="1"/>
  <c r="BI105" i="1"/>
  <c r="X56" i="1"/>
  <c r="CF102" i="1"/>
  <c r="CG120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BG130" i="1"/>
  <c r="BS130" i="1"/>
  <c r="BI130" i="1"/>
  <c r="CO113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99" i="1"/>
  <c r="CL18" i="1"/>
  <c r="CL19" i="1" s="1"/>
  <c r="CK18" i="1"/>
  <c r="CK19" i="1" s="1"/>
  <c r="CL23" i="1"/>
  <c r="CN23" i="1" s="1"/>
  <c r="BS136" i="1"/>
  <c r="BS135" i="1"/>
  <c r="BS133" i="1"/>
  <c r="BS132" i="1"/>
  <c r="BS131" i="1"/>
  <c r="BR128" i="1"/>
  <c r="BR127" i="1"/>
  <c r="BR125" i="1"/>
  <c r="BR124" i="1"/>
  <c r="BR123" i="1"/>
  <c r="BR122" i="1"/>
  <c r="BQ120" i="1"/>
  <c r="BP118" i="1"/>
  <c r="BI136" i="1"/>
  <c r="BI135" i="1"/>
  <c r="BI133" i="1"/>
  <c r="BI132" i="1"/>
  <c r="BI131" i="1"/>
  <c r="BI128" i="1"/>
  <c r="BI127" i="1"/>
  <c r="BI125" i="1"/>
  <c r="BI124" i="1"/>
  <c r="BI123" i="1"/>
  <c r="BI122" i="1"/>
  <c r="BI120" i="1"/>
  <c r="BI118" i="1"/>
  <c r="BG136" i="1"/>
  <c r="BG135" i="1"/>
  <c r="BG133" i="1"/>
  <c r="BG132" i="1"/>
  <c r="BG131" i="1"/>
  <c r="BG128" i="1"/>
  <c r="BG127" i="1"/>
  <c r="BG125" i="1"/>
  <c r="BG124" i="1"/>
  <c r="BG123" i="1"/>
  <c r="BG122" i="1"/>
  <c r="BG120" i="1"/>
  <c r="BG118" i="1"/>
  <c r="BG115" i="1"/>
  <c r="BG114" i="1"/>
  <c r="BI115" i="1"/>
  <c r="BI114" i="1"/>
  <c r="BO115" i="1"/>
  <c r="BO114" i="1"/>
  <c r="BO112" i="1"/>
  <c r="BO111" i="1"/>
  <c r="BO110" i="1"/>
  <c r="BI112" i="1"/>
  <c r="BI111" i="1"/>
  <c r="BI110" i="1"/>
  <c r="BG112" i="1"/>
  <c r="BG111" i="1"/>
  <c r="BG110" i="1"/>
  <c r="BN107" i="1"/>
  <c r="BM106" i="1"/>
  <c r="BM104" i="1"/>
  <c r="BI107" i="1"/>
  <c r="BI106" i="1"/>
  <c r="BI104" i="1"/>
  <c r="BG104" i="1"/>
  <c r="BG106" i="1"/>
  <c r="BG107" i="1"/>
  <c r="CB53" i="1"/>
  <c r="CC53" i="1" s="1"/>
  <c r="BX53" i="1"/>
  <c r="BX54" i="1" s="1"/>
  <c r="CE54" i="1" s="1"/>
  <c r="CI63" i="1"/>
  <c r="CI57" i="1"/>
  <c r="CI58" i="1"/>
  <c r="CI59" i="1"/>
  <c r="CI60" i="1"/>
  <c r="CI61" i="1"/>
  <c r="CI62" i="1"/>
  <c r="CI54" i="1"/>
  <c r="CI55" i="1"/>
  <c r="CI56" i="1"/>
  <c r="CI53" i="1"/>
  <c r="CB60" i="1"/>
  <c r="CC60" i="1" s="1"/>
  <c r="BY60" i="1"/>
  <c r="BY61" i="1"/>
  <c r="BY62" i="1"/>
  <c r="BY63" i="1"/>
  <c r="DC9" i="1"/>
  <c r="CI40" i="1"/>
  <c r="CI39" i="1"/>
  <c r="CH40" i="1"/>
  <c r="CH39" i="1"/>
  <c r="CA29" i="1"/>
  <c r="CG29" i="1" s="1"/>
  <c r="CA30" i="1"/>
  <c r="CG30" i="1" s="1"/>
  <c r="CA31" i="1"/>
  <c r="CG31" i="1" s="1"/>
  <c r="CA32" i="1"/>
  <c r="CG32" i="1" s="1"/>
  <c r="CA33" i="1"/>
  <c r="CG33" i="1" s="1"/>
  <c r="CA34" i="1"/>
  <c r="CG34" i="1" s="1"/>
  <c r="CA35" i="1"/>
  <c r="CG35" i="1" s="1"/>
  <c r="CA36" i="1"/>
  <c r="CG36" i="1" s="1"/>
  <c r="CA37" i="1"/>
  <c r="CG37" i="1" s="1"/>
  <c r="CA28" i="1"/>
  <c r="CG28" i="1" s="1"/>
  <c r="CC29" i="1"/>
  <c r="CC30" i="1"/>
  <c r="CC31" i="1"/>
  <c r="CC32" i="1"/>
  <c r="CC33" i="1"/>
  <c r="CC34" i="1"/>
  <c r="CC35" i="1"/>
  <c r="CC36" i="1"/>
  <c r="CC37" i="1"/>
  <c r="CC28" i="1"/>
  <c r="BZ29" i="1"/>
  <c r="CF29" i="1" s="1"/>
  <c r="BZ30" i="1"/>
  <c r="CF30" i="1" s="1"/>
  <c r="BZ31" i="1"/>
  <c r="CF31" i="1" s="1"/>
  <c r="BZ32" i="1"/>
  <c r="CF32" i="1" s="1"/>
  <c r="BZ33" i="1"/>
  <c r="CF33" i="1" s="1"/>
  <c r="BZ34" i="1"/>
  <c r="CF34" i="1" s="1"/>
  <c r="BZ35" i="1"/>
  <c r="CF35" i="1" s="1"/>
  <c r="BZ36" i="1"/>
  <c r="CF36" i="1" s="1"/>
  <c r="BZ37" i="1"/>
  <c r="CF37" i="1" s="1"/>
  <c r="DB40" i="1" l="1"/>
  <c r="EE13" i="1" s="1"/>
  <c r="DL15" i="1"/>
  <c r="DS9" i="1"/>
  <c r="DT9" i="1" s="1"/>
  <c r="DE9" i="1"/>
  <c r="CQ34" i="1"/>
  <c r="CQ33" i="1"/>
  <c r="DS6" i="1"/>
  <c r="DT6" i="1" s="1"/>
  <c r="CU107" i="1"/>
  <c r="EH17" i="1" s="1"/>
  <c r="EI17" i="1" s="1"/>
  <c r="EK17" i="1" s="1"/>
  <c r="EM17" i="1" s="1"/>
  <c r="EO17" i="1" s="1"/>
  <c r="CP28" i="1"/>
  <c r="CR28" i="1"/>
  <c r="BZ52" i="1"/>
  <c r="CD52" i="1" s="1"/>
  <c r="CJ39" i="1"/>
  <c r="CQ130" i="1"/>
  <c r="CQ28" i="1"/>
  <c r="EI16" i="1"/>
  <c r="EM16" i="1" s="1"/>
  <c r="EO16" i="1" s="1"/>
  <c r="DR12" i="1"/>
  <c r="DS12" i="1" s="1"/>
  <c r="DT12" i="1" s="1"/>
  <c r="DE39" i="1"/>
  <c r="DN12" i="1"/>
  <c r="DL12" i="1" s="1"/>
  <c r="CL40" i="1"/>
  <c r="CG89" i="1"/>
  <c r="EH10" i="1" s="1"/>
  <c r="EI10" i="1" s="1"/>
  <c r="DK11" i="1"/>
  <c r="CE146" i="1" s="1"/>
  <c r="CD146" i="1"/>
  <c r="DR11" i="1"/>
  <c r="DS11" i="1" s="1"/>
  <c r="DT11" i="1" s="1"/>
  <c r="DE38" i="1"/>
  <c r="DN11" i="1"/>
  <c r="DL11" i="1" s="1"/>
  <c r="CC74" i="1"/>
  <c r="CK40" i="1"/>
  <c r="CE72" i="1"/>
  <c r="CQ136" i="1"/>
  <c r="CQ137" i="1" s="1"/>
  <c r="DB35" i="1"/>
  <c r="EE8" i="1" s="1"/>
  <c r="EF8" i="1"/>
  <c r="EH8" i="1" s="1"/>
  <c r="DE6" i="1"/>
  <c r="DL6" i="1"/>
  <c r="CJ40" i="1"/>
  <c r="DN7" i="1"/>
  <c r="DL7" i="1" s="1"/>
  <c r="DR7" i="1"/>
  <c r="DS7" i="1" s="1"/>
  <c r="DT7" i="1" s="1"/>
  <c r="DE34" i="1"/>
  <c r="EF13" i="1"/>
  <c r="EH13" i="1" s="1"/>
  <c r="J87" i="2"/>
  <c r="CG87" i="1"/>
  <c r="CP35" i="1"/>
  <c r="DE13" i="1"/>
  <c r="DM13" i="1"/>
  <c r="DL13" i="1" s="1"/>
  <c r="EG14" i="1"/>
  <c r="CP34" i="1"/>
  <c r="DN8" i="1"/>
  <c r="DL8" i="1" s="1"/>
  <c r="DE35" i="1"/>
  <c r="DR8" i="1"/>
  <c r="DS8" i="1" s="1"/>
  <c r="DT8" i="1" s="1"/>
  <c r="DO6" i="1"/>
  <c r="CR128" i="1"/>
  <c r="EF14" i="1"/>
  <c r="EE14" i="1"/>
  <c r="CL39" i="1"/>
  <c r="CP33" i="1"/>
  <c r="CN39" i="1"/>
  <c r="CP31" i="1"/>
  <c r="CN40" i="1"/>
  <c r="CQ36" i="1"/>
  <c r="CK39" i="1"/>
  <c r="CM40" i="1"/>
  <c r="CP137" i="1"/>
  <c r="CP39" i="1"/>
  <c r="EK13" i="1" s="1"/>
  <c r="EM13" i="1" s="1"/>
  <c r="EO13" i="1" s="1"/>
  <c r="CE53" i="1"/>
  <c r="CQ31" i="1"/>
  <c r="CQ30" i="1"/>
  <c r="CQ29" i="1"/>
  <c r="EH16" i="1"/>
  <c r="EK16" i="1" s="1"/>
  <c r="CQ37" i="1"/>
  <c r="CP37" i="1"/>
  <c r="CP36" i="1"/>
  <c r="CP32" i="1"/>
  <c r="CM39" i="1"/>
  <c r="CA81" i="1"/>
  <c r="CA73" i="1"/>
  <c r="CA85" i="1"/>
  <c r="CE73" i="1"/>
  <c r="CA82" i="1"/>
  <c r="CA75" i="1"/>
  <c r="CA76" i="1"/>
  <c r="CA80" i="1"/>
  <c r="CA79" i="1"/>
  <c r="CA78" i="1"/>
  <c r="CA77" i="1"/>
  <c r="CA74" i="1"/>
  <c r="CN113" i="1"/>
  <c r="CF120" i="1"/>
  <c r="CA84" i="1"/>
  <c r="CA83" i="1"/>
  <c r="CB54" i="1"/>
  <c r="CB55" i="1" s="1"/>
  <c r="CB56" i="1" s="1"/>
  <c r="BY53" i="1"/>
  <c r="BY54" i="1"/>
  <c r="BX55" i="1"/>
  <c r="CE55" i="1" s="1"/>
  <c r="BW53" i="1"/>
  <c r="BW54" i="1" s="1"/>
  <c r="BW55" i="1" s="1"/>
  <c r="BW56" i="1" s="1"/>
  <c r="BW57" i="1" s="1"/>
  <c r="BW58" i="1" s="1"/>
  <c r="BW59" i="1" s="1"/>
  <c r="BW60" i="1" s="1"/>
  <c r="CB61" i="1"/>
  <c r="CG40" i="1"/>
  <c r="CF40" i="1"/>
  <c r="CG39" i="1"/>
  <c r="CF39" i="1"/>
  <c r="AI88" i="1"/>
  <c r="AI89" i="1" s="1"/>
  <c r="AI90" i="1" s="1"/>
  <c r="AS16" i="1"/>
  <c r="AS4" i="1"/>
  <c r="V7" i="1"/>
  <c r="F8" i="1"/>
  <c r="F6" i="1"/>
  <c r="AE54" i="1"/>
  <c r="F16" i="1"/>
  <c r="P4" i="1" s="1"/>
  <c r="X41" i="1"/>
  <c r="BG22" i="1"/>
  <c r="X55" i="1"/>
  <c r="Y79" i="1"/>
  <c r="X83" i="1"/>
  <c r="X76" i="1"/>
  <c r="X73" i="1"/>
  <c r="X70" i="1"/>
  <c r="X64" i="1"/>
  <c r="X57" i="1"/>
  <c r="X52" i="1"/>
  <c r="X51" i="1"/>
  <c r="X50" i="1"/>
  <c r="X46" i="1"/>
  <c r="X42" i="1"/>
  <c r="Y45" i="1"/>
  <c r="X45" i="1" s="1"/>
  <c r="F11" i="1"/>
  <c r="Y67" i="1"/>
  <c r="Y80" i="1"/>
  <c r="Y47" i="1"/>
  <c r="X47" i="1" s="1"/>
  <c r="AN50" i="1"/>
  <c r="AN51" i="1" s="1"/>
  <c r="AN52" i="1" s="1"/>
  <c r="AI50" i="1"/>
  <c r="X61" i="1"/>
  <c r="Y60" i="1"/>
  <c r="AA88" i="1"/>
  <c r="AN64" i="1"/>
  <c r="EH14" i="1" l="1"/>
  <c r="EK14" i="1" s="1"/>
  <c r="CC75" i="1"/>
  <c r="CD74" i="1"/>
  <c r="CE74" i="1"/>
  <c r="CR141" i="1"/>
  <c r="CR143" i="1" s="1"/>
  <c r="CR147" i="1" s="1"/>
  <c r="CR148" i="1" s="1"/>
  <c r="AE3" i="1"/>
  <c r="M87" i="2"/>
  <c r="EK10" i="1"/>
  <c r="EM10" i="1" s="1"/>
  <c r="EO10" i="1" s="1"/>
  <c r="CP40" i="1"/>
  <c r="CQ39" i="1"/>
  <c r="EK8" i="1" s="1"/>
  <c r="EM8" i="1" s="1"/>
  <c r="EO8" i="1" s="1"/>
  <c r="CQ40" i="1"/>
  <c r="AI51" i="1"/>
  <c r="AI52" i="1" s="1"/>
  <c r="R5" i="1"/>
  <c r="DC7" i="1"/>
  <c r="DE7" i="1" s="1"/>
  <c r="R8" i="1"/>
  <c r="DC10" i="1"/>
  <c r="DE10" i="1" s="1"/>
  <c r="R6" i="1"/>
  <c r="DC8" i="1"/>
  <c r="DE8" i="1" s="1"/>
  <c r="U4" i="1"/>
  <c r="AF56" i="1"/>
  <c r="AF55" i="1"/>
  <c r="BZ54" i="1"/>
  <c r="BZ53" i="1"/>
  <c r="CD53" i="1" s="1"/>
  <c r="BW61" i="1"/>
  <c r="BZ60" i="1"/>
  <c r="CD60" i="1" s="1"/>
  <c r="CC54" i="1"/>
  <c r="CD54" i="1" s="1"/>
  <c r="CC55" i="1"/>
  <c r="CB57" i="1"/>
  <c r="CC56" i="1"/>
  <c r="T4" i="1"/>
  <c r="BX56" i="1"/>
  <c r="CE56" i="1" s="1"/>
  <c r="BY55" i="1"/>
  <c r="BZ55" i="1" s="1"/>
  <c r="CB62" i="1"/>
  <c r="CC61" i="1"/>
  <c r="V8" i="1"/>
  <c r="E87" i="2"/>
  <c r="I87" i="2" s="1"/>
  <c r="N4" i="1"/>
  <c r="R4" i="1"/>
  <c r="T7" i="1"/>
  <c r="X60" i="1"/>
  <c r="AE66" i="1"/>
  <c r="AF67" i="1" s="1"/>
  <c r="X79" i="1"/>
  <c r="X80" i="1"/>
  <c r="X67" i="1"/>
  <c r="CD55" i="1" l="1"/>
  <c r="CQ141" i="1"/>
  <c r="CQ143" i="1" s="1"/>
  <c r="CD75" i="1"/>
  <c r="CE75" i="1" s="1"/>
  <c r="CC76" i="1"/>
  <c r="BW62" i="1"/>
  <c r="BZ61" i="1"/>
  <c r="CD61" i="1" s="1"/>
  <c r="BX57" i="1"/>
  <c r="CE57" i="1" s="1"/>
  <c r="BY56" i="1"/>
  <c r="BZ56" i="1" s="1"/>
  <c r="CD56" i="1" s="1"/>
  <c r="CB58" i="1"/>
  <c r="CC57" i="1"/>
  <c r="CB63" i="1"/>
  <c r="CC63" i="1" s="1"/>
  <c r="CC62" i="1"/>
  <c r="AS28" i="1"/>
  <c r="AS33" i="1" s="1"/>
  <c r="AN28" i="1"/>
  <c r="AN33" i="1" s="1"/>
  <c r="AN16" i="1"/>
  <c r="AN4" i="1"/>
  <c r="AQ4" i="1" s="1"/>
  <c r="AS9" i="1"/>
  <c r="AI28" i="1"/>
  <c r="AI33" i="1" s="1"/>
  <c r="AL4" i="1"/>
  <c r="AI16" i="1"/>
  <c r="AS76" i="1"/>
  <c r="AS73" i="1"/>
  <c r="AS70" i="1"/>
  <c r="AS67" i="1"/>
  <c r="AS64" i="1"/>
  <c r="AS60" i="1"/>
  <c r="AS61" i="1" s="1"/>
  <c r="AS55" i="1"/>
  <c r="AS56" i="1" s="1"/>
  <c r="AS50" i="1"/>
  <c r="AS51" i="1" s="1"/>
  <c r="AS52" i="1" s="1"/>
  <c r="AS45" i="1"/>
  <c r="AS46" i="1" s="1"/>
  <c r="AS47" i="1" s="1"/>
  <c r="AS41" i="1"/>
  <c r="AS42" i="1" s="1"/>
  <c r="AN76" i="1"/>
  <c r="AN73" i="1"/>
  <c r="AN70" i="1"/>
  <c r="AN67" i="1"/>
  <c r="AN60" i="1"/>
  <c r="AN61" i="1" s="1"/>
  <c r="AN55" i="1"/>
  <c r="AN56" i="1" s="1"/>
  <c r="AN45" i="1"/>
  <c r="AN46" i="1" s="1"/>
  <c r="AN47" i="1" s="1"/>
  <c r="AN41" i="1"/>
  <c r="AN42" i="1" s="1"/>
  <c r="AI76" i="1"/>
  <c r="AI73" i="1"/>
  <c r="AI70" i="1"/>
  <c r="AI67" i="1"/>
  <c r="AI64" i="1"/>
  <c r="AI60" i="1"/>
  <c r="AI55" i="1"/>
  <c r="AI45" i="1"/>
  <c r="AI41" i="1"/>
  <c r="F15" i="1"/>
  <c r="AE78" i="1"/>
  <c r="F13" i="1"/>
  <c r="DC15" i="1" s="1"/>
  <c r="DE15" i="1" s="1"/>
  <c r="DC12" i="1"/>
  <c r="DE12" i="1" s="1"/>
  <c r="O7" i="1"/>
  <c r="F9" i="1"/>
  <c r="F12" i="1"/>
  <c r="N8" i="1"/>
  <c r="N5" i="1"/>
  <c r="P11" i="1"/>
  <c r="N6" i="1"/>
  <c r="CC77" i="1" l="1"/>
  <c r="CD76" i="1"/>
  <c r="CE76" i="1" s="1"/>
  <c r="CP151" i="1"/>
  <c r="CP147" i="1"/>
  <c r="AE82" i="1"/>
  <c r="DC17" i="1"/>
  <c r="AV56" i="1"/>
  <c r="AU56" i="1" s="1"/>
  <c r="AI46" i="1"/>
  <c r="AI47" i="1" s="1"/>
  <c r="O9" i="1"/>
  <c r="DC11" i="1"/>
  <c r="DE11" i="1" s="1"/>
  <c r="AQ56" i="1"/>
  <c r="AP56" i="1" s="1"/>
  <c r="T12" i="1"/>
  <c r="DC14" i="1"/>
  <c r="DE14" i="1" s="1"/>
  <c r="BW63" i="1"/>
  <c r="BZ63" i="1" s="1"/>
  <c r="CD63" i="1" s="1"/>
  <c r="BZ62" i="1"/>
  <c r="CD62" i="1" s="1"/>
  <c r="AL55" i="1"/>
  <c r="AI56" i="1"/>
  <c r="AL56" i="1" s="1"/>
  <c r="AM56" i="1" s="1"/>
  <c r="CB59" i="1"/>
  <c r="CC59" i="1" s="1"/>
  <c r="CC58" i="1"/>
  <c r="BX58" i="1"/>
  <c r="CE58" i="1" s="1"/>
  <c r="BY57" i="1"/>
  <c r="BZ57" i="1" s="1"/>
  <c r="CD57" i="1" s="1"/>
  <c r="AI42" i="1"/>
  <c r="AI61" i="1"/>
  <c r="O13" i="1"/>
  <c r="T13" i="1"/>
  <c r="Q12" i="1"/>
  <c r="M16" i="1"/>
  <c r="L16" i="1"/>
  <c r="S13" i="1"/>
  <c r="AS57" i="1"/>
  <c r="AV55" i="1"/>
  <c r="AF80" i="1"/>
  <c r="AF79" i="1"/>
  <c r="AI57" i="1"/>
  <c r="AN57" i="1"/>
  <c r="AQ55" i="1"/>
  <c r="O10" i="1"/>
  <c r="S10" i="1"/>
  <c r="AV4" i="1"/>
  <c r="AS21" i="1"/>
  <c r="AN9" i="1"/>
  <c r="AN21" i="1"/>
  <c r="S7" i="1"/>
  <c r="AE40" i="1"/>
  <c r="AL41" i="1" s="1"/>
  <c r="S9" i="1"/>
  <c r="V9" i="1"/>
  <c r="V10" i="1"/>
  <c r="R12" i="1"/>
  <c r="V12" i="1"/>
  <c r="V13" i="1"/>
  <c r="V6" i="1"/>
  <c r="U12" i="1"/>
  <c r="U10" i="1"/>
  <c r="AE49" i="1"/>
  <c r="AL50" i="1" s="1"/>
  <c r="AE27" i="1"/>
  <c r="BA28" i="1" s="1"/>
  <c r="T8" i="1"/>
  <c r="U11" i="1"/>
  <c r="T5" i="1"/>
  <c r="AE59" i="1"/>
  <c r="AV60" i="1" s="1"/>
  <c r="T11" i="1"/>
  <c r="U7" i="1"/>
  <c r="AE75" i="1"/>
  <c r="AV76" i="1" s="1"/>
  <c r="AE44" i="1"/>
  <c r="AL45" i="1" s="1"/>
  <c r="AE63" i="1"/>
  <c r="AQ64" i="1" s="1"/>
  <c r="AE69" i="1"/>
  <c r="AQ70" i="1" s="1"/>
  <c r="AE72" i="1"/>
  <c r="AF73" i="1" s="1"/>
  <c r="U6" i="1"/>
  <c r="U8" i="1"/>
  <c r="T10" i="1"/>
  <c r="T6" i="1"/>
  <c r="U9" i="1"/>
  <c r="AQ67" i="1"/>
  <c r="AO67" i="1" s="1"/>
  <c r="T9" i="1"/>
  <c r="U13" i="1"/>
  <c r="U5" i="1"/>
  <c r="AE15" i="1"/>
  <c r="Q10" i="1"/>
  <c r="Q7" i="1"/>
  <c r="P12" i="1"/>
  <c r="N12" i="1"/>
  <c r="P6" i="1"/>
  <c r="Q9" i="1"/>
  <c r="P8" i="1"/>
  <c r="Q13" i="1"/>
  <c r="CP148" i="1" l="1"/>
  <c r="CQ151" i="1"/>
  <c r="EH12" i="1" s="1"/>
  <c r="CD77" i="1"/>
  <c r="CE77" i="1" s="1"/>
  <c r="CC78" i="1"/>
  <c r="AL76" i="1"/>
  <c r="AJ76" i="1" s="1"/>
  <c r="AL64" i="1"/>
  <c r="AK64" i="1" s="1"/>
  <c r="AQ76" i="1"/>
  <c r="AV70" i="1"/>
  <c r="AV64" i="1"/>
  <c r="AL60" i="1"/>
  <c r="AL70" i="1"/>
  <c r="AK56" i="1"/>
  <c r="BX59" i="1"/>
  <c r="BY58" i="1"/>
  <c r="BZ58" i="1" s="1"/>
  <c r="CD58" i="1" s="1"/>
  <c r="AF64" i="1"/>
  <c r="AO57" i="1"/>
  <c r="AO55" i="1"/>
  <c r="AU61" i="1"/>
  <c r="AU60" i="1"/>
  <c r="AQ28" i="1"/>
  <c r="AJ55" i="1"/>
  <c r="AJ57" i="1"/>
  <c r="AF42" i="1"/>
  <c r="AF41" i="1"/>
  <c r="AQ45" i="1"/>
  <c r="AF46" i="1"/>
  <c r="AF45" i="1"/>
  <c r="AF47" i="1"/>
  <c r="AT57" i="1"/>
  <c r="AT55" i="1"/>
  <c r="AO70" i="1"/>
  <c r="AP70" i="1"/>
  <c r="AQ16" i="1"/>
  <c r="AL16" i="1"/>
  <c r="AV16" i="1"/>
  <c r="AF52" i="1"/>
  <c r="AF51" i="1"/>
  <c r="AF50" i="1"/>
  <c r="AL88" i="1"/>
  <c r="AL28" i="1"/>
  <c r="AV28" i="1"/>
  <c r="AM55" i="1"/>
  <c r="AQ73" i="1"/>
  <c r="AO73" i="1" s="1"/>
  <c r="AV45" i="1"/>
  <c r="AQ60" i="1"/>
  <c r="AV41" i="1"/>
  <c r="AQ41" i="1"/>
  <c r="AV73" i="1"/>
  <c r="AU73" i="1" s="1"/>
  <c r="AV50" i="1"/>
  <c r="AQ50" i="1"/>
  <c r="AL73" i="1"/>
  <c r="AF70" i="1"/>
  <c r="AV67" i="1"/>
  <c r="AU67" i="1" s="1"/>
  <c r="AL67" i="1"/>
  <c r="CD78" i="1" l="1"/>
  <c r="CE78" i="1" s="1"/>
  <c r="CC79" i="1"/>
  <c r="EK12" i="1"/>
  <c r="EM12" i="1" s="1"/>
  <c r="EO12" i="1" s="1"/>
  <c r="EI12" i="1"/>
  <c r="BY59" i="1"/>
  <c r="BZ59" i="1" s="1"/>
  <c r="CD59" i="1" s="1"/>
  <c r="CE59" i="1"/>
  <c r="CE65" i="1" s="1"/>
  <c r="AJ64" i="1"/>
  <c r="AM64" i="1"/>
  <c r="AM76" i="1"/>
  <c r="AK76" i="1"/>
  <c r="CD65" i="1"/>
  <c r="AT64" i="1"/>
  <c r="AU64" i="1"/>
  <c r="AM70" i="1"/>
  <c r="AJ70" i="1"/>
  <c r="AK70" i="1"/>
  <c r="AT42" i="1"/>
  <c r="AT41" i="1"/>
  <c r="AJ51" i="1"/>
  <c r="AK50" i="1"/>
  <c r="AJ52" i="1"/>
  <c r="AP76" i="1"/>
  <c r="AO76" i="1"/>
  <c r="AU76" i="1"/>
  <c r="AT76" i="1"/>
  <c r="AM73" i="1"/>
  <c r="AK73" i="1"/>
  <c r="AO64" i="1"/>
  <c r="AP64" i="1"/>
  <c r="AO61" i="1"/>
  <c r="AO60" i="1"/>
  <c r="AM41" i="1"/>
  <c r="AJ41" i="1"/>
  <c r="AJ42" i="1"/>
  <c r="AM60" i="1"/>
  <c r="AK61" i="1"/>
  <c r="AK60" i="1"/>
  <c r="AO42" i="1"/>
  <c r="AO41" i="1"/>
  <c r="AM45" i="1"/>
  <c r="AJ46" i="1"/>
  <c r="AJ47" i="1"/>
  <c r="AJ45" i="1"/>
  <c r="AO47" i="1"/>
  <c r="AO46" i="1"/>
  <c r="AO45" i="1"/>
  <c r="AM67" i="1"/>
  <c r="AK67" i="1"/>
  <c r="AM50" i="1"/>
  <c r="AT46" i="1"/>
  <c r="AT45" i="1"/>
  <c r="AT47" i="1"/>
  <c r="AU70" i="1"/>
  <c r="AT70" i="1"/>
  <c r="AO50" i="1"/>
  <c r="AO52" i="1"/>
  <c r="AO51" i="1"/>
  <c r="AU50" i="1"/>
  <c r="AU52" i="1"/>
  <c r="AU51" i="1"/>
  <c r="AJ88" i="1"/>
  <c r="AJ89" i="1"/>
  <c r="AJ90" i="1"/>
  <c r="EH7" i="1" l="1"/>
  <c r="EI7" i="1" s="1"/>
  <c r="CC80" i="1"/>
  <c r="CD79" i="1"/>
  <c r="CE79" i="1" s="1"/>
  <c r="AI9" i="1"/>
  <c r="AX33" i="1"/>
  <c r="AF61" i="1"/>
  <c r="CC81" i="1" l="1"/>
  <c r="CD80" i="1"/>
  <c r="CE80" i="1" s="1"/>
  <c r="EK7" i="1"/>
  <c r="EM7" i="1" s="1"/>
  <c r="EO7" i="1" s="1"/>
  <c r="AF83" i="1"/>
  <c r="AF76" i="1"/>
  <c r="AF60" i="1"/>
  <c r="AF57" i="1"/>
  <c r="AB34" i="1"/>
  <c r="AB35" i="1" s="1"/>
  <c r="AA33" i="1"/>
  <c r="Z33" i="1" s="1"/>
  <c r="Y33" i="1" s="1"/>
  <c r="AF33" i="1" s="1"/>
  <c r="AB29" i="1"/>
  <c r="AB30" i="1" s="1"/>
  <c r="AA28" i="1"/>
  <c r="Z28" i="1" s="1"/>
  <c r="AB22" i="1"/>
  <c r="AB23" i="1" s="1"/>
  <c r="AA21" i="1"/>
  <c r="Z21" i="1" s="1"/>
  <c r="Y21" i="1" s="1"/>
  <c r="AF21" i="1" s="1"/>
  <c r="AB17" i="1"/>
  <c r="AA17" i="1" s="1"/>
  <c r="Z17" i="1" s="1"/>
  <c r="AA16" i="1"/>
  <c r="Z16" i="1" s="1"/>
  <c r="CD81" i="1" l="1"/>
  <c r="CE81" i="1" s="1"/>
  <c r="CC82" i="1"/>
  <c r="AA29" i="1"/>
  <c r="Z29" i="1" s="1"/>
  <c r="Y29" i="1" s="1"/>
  <c r="AF29" i="1" s="1"/>
  <c r="AG29" i="1" s="1"/>
  <c r="AG33" i="1"/>
  <c r="AA34" i="1"/>
  <c r="Z34" i="1" s="1"/>
  <c r="Y34" i="1" s="1"/>
  <c r="AF34" i="1" s="1"/>
  <c r="AG34" i="1" s="1"/>
  <c r="AA22" i="1"/>
  <c r="Y28" i="1"/>
  <c r="AA30" i="1"/>
  <c r="AB31" i="1"/>
  <c r="AA31" i="1" s="1"/>
  <c r="AB36" i="1"/>
  <c r="AA36" i="1" s="1"/>
  <c r="AA35" i="1"/>
  <c r="AI21" i="1"/>
  <c r="AG21" i="1"/>
  <c r="Y17" i="1"/>
  <c r="AF17" i="1" s="1"/>
  <c r="AG17" i="1" s="1"/>
  <c r="Y16" i="1"/>
  <c r="AA23" i="1"/>
  <c r="AB24" i="1"/>
  <c r="AA24" i="1" s="1"/>
  <c r="AB18" i="1"/>
  <c r="AB10" i="1"/>
  <c r="AB11" i="1" s="1"/>
  <c r="AB5" i="1"/>
  <c r="AB6" i="1" s="1"/>
  <c r="AB7" i="1" s="1"/>
  <c r="AA9" i="1"/>
  <c r="Z9" i="1" s="1"/>
  <c r="Y9" i="1" s="1"/>
  <c r="AF9" i="1" s="1"/>
  <c r="CC83" i="1" l="1"/>
  <c r="CD82" i="1"/>
  <c r="CE82" i="1" s="1"/>
  <c r="Z24" i="1"/>
  <c r="Y24" i="1" s="1"/>
  <c r="AF24" i="1" s="1"/>
  <c r="AG24" i="1" s="1"/>
  <c r="Z31" i="1"/>
  <c r="Y31" i="1" s="1"/>
  <c r="AF31" i="1" s="1"/>
  <c r="AG31" i="1" s="1"/>
  <c r="Z30" i="1"/>
  <c r="Y30" i="1" s="1"/>
  <c r="AF28" i="1"/>
  <c r="AF16" i="1"/>
  <c r="Z23" i="1"/>
  <c r="Y23" i="1" s="1"/>
  <c r="AF23" i="1" s="1"/>
  <c r="AG23" i="1" s="1"/>
  <c r="Z22" i="1"/>
  <c r="Y22" i="1" s="1"/>
  <c r="Z35" i="1"/>
  <c r="Y35" i="1" s="1"/>
  <c r="Z36" i="1"/>
  <c r="Y36" i="1" s="1"/>
  <c r="AF36" i="1" s="1"/>
  <c r="AG36" i="1" s="1"/>
  <c r="AG9" i="1"/>
  <c r="AA18" i="1"/>
  <c r="AB19" i="1"/>
  <c r="AA19" i="1" s="1"/>
  <c r="AA11" i="1"/>
  <c r="Z11" i="1" s="1"/>
  <c r="Y11" i="1" s="1"/>
  <c r="AF11" i="1" s="1"/>
  <c r="AG11" i="1" s="1"/>
  <c r="AB12" i="1"/>
  <c r="AA12" i="1" s="1"/>
  <c r="Z12" i="1" s="1"/>
  <c r="Y12" i="1" s="1"/>
  <c r="AF12" i="1" s="1"/>
  <c r="AG12" i="1" s="1"/>
  <c r="AA10" i="1"/>
  <c r="Z10" i="1" s="1"/>
  <c r="Y10" i="1" s="1"/>
  <c r="AF10" i="1" s="1"/>
  <c r="AG10" i="1" s="1"/>
  <c r="CD83" i="1" l="1"/>
  <c r="CC84" i="1"/>
  <c r="X28" i="1"/>
  <c r="AH9" i="1"/>
  <c r="AF22" i="1"/>
  <c r="X21" i="1"/>
  <c r="AF35" i="1"/>
  <c r="AH33" i="1" s="1"/>
  <c r="X33" i="1"/>
  <c r="AF30" i="1"/>
  <c r="AG30" i="1" s="1"/>
  <c r="Z18" i="1"/>
  <c r="Y18" i="1" s="1"/>
  <c r="AG28" i="1"/>
  <c r="Z19" i="1"/>
  <c r="Y19" i="1" s="1"/>
  <c r="AF19" i="1" s="1"/>
  <c r="AG19" i="1" s="1"/>
  <c r="AG16" i="1"/>
  <c r="X9" i="1"/>
  <c r="AA7" i="1"/>
  <c r="AA6" i="1"/>
  <c r="Z6" i="1" s="1"/>
  <c r="AA5" i="1"/>
  <c r="Z5" i="1" s="1"/>
  <c r="AA4" i="1"/>
  <c r="Z4" i="1" s="1"/>
  <c r="CD84" i="1" l="1"/>
  <c r="CE84" i="1" s="1"/>
  <c r="CC85" i="1"/>
  <c r="CD85" i="1" s="1"/>
  <c r="CE85" i="1" s="1"/>
  <c r="CD87" i="1"/>
  <c r="CE83" i="1"/>
  <c r="CE89" i="1" s="1"/>
  <c r="AY33" i="1"/>
  <c r="AJ33" i="1"/>
  <c r="AT33" i="1"/>
  <c r="AO33" i="1"/>
  <c r="AJ9" i="1"/>
  <c r="AT9" i="1"/>
  <c r="AO9" i="1"/>
  <c r="AH28" i="1"/>
  <c r="AF18" i="1"/>
  <c r="X16" i="1"/>
  <c r="AG35" i="1"/>
  <c r="AG22" i="1"/>
  <c r="AH21" i="1"/>
  <c r="Z7" i="1"/>
  <c r="Y7" i="1" s="1"/>
  <c r="AF7" i="1" s="1"/>
  <c r="AG7" i="1" s="1"/>
  <c r="Y6" i="1"/>
  <c r="AF6" i="1" s="1"/>
  <c r="AG6" i="1" s="1"/>
  <c r="Y5" i="1"/>
  <c r="AF5" i="1" s="1"/>
  <c r="AG5" i="1" s="1"/>
  <c r="Y4" i="1"/>
  <c r="AF4" i="1" s="1"/>
  <c r="CE87" i="1" l="1"/>
  <c r="AY28" i="1"/>
  <c r="AJ28" i="1"/>
  <c r="AO28" i="1"/>
  <c r="AT28" i="1"/>
  <c r="AJ21" i="1"/>
  <c r="AO21" i="1"/>
  <c r="AT21" i="1"/>
  <c r="AH4" i="1"/>
  <c r="AG4" i="1"/>
  <c r="AG18" i="1"/>
  <c r="AH16" i="1"/>
  <c r="X4" i="1"/>
  <c r="AT16" i="1" l="1"/>
  <c r="AJ16" i="1"/>
  <c r="AO16" i="1"/>
  <c r="AJ4" i="1"/>
  <c r="AT4" i="1"/>
  <c r="AO4" i="1"/>
</calcChain>
</file>

<file path=xl/sharedStrings.xml><?xml version="1.0" encoding="utf-8"?>
<sst xmlns="http://schemas.openxmlformats.org/spreadsheetml/2006/main" count="1422" uniqueCount="420">
  <si>
    <t>B/Ca</t>
  </si>
  <si>
    <t>Na/Ca</t>
  </si>
  <si>
    <t>Mg/Ca</t>
  </si>
  <si>
    <t>Al/Ca</t>
  </si>
  <si>
    <t>K/Ca</t>
  </si>
  <si>
    <t>Mn/Ca</t>
  </si>
  <si>
    <t>Zn/Ca</t>
  </si>
  <si>
    <t>Sr/Ca</t>
  </si>
  <si>
    <t>Ba/Ca</t>
  </si>
  <si>
    <t>Pb/Ca</t>
  </si>
  <si>
    <t>B</t>
  </si>
  <si>
    <t>Na</t>
  </si>
  <si>
    <t>Mg</t>
  </si>
  <si>
    <t>Al</t>
  </si>
  <si>
    <t>K</t>
  </si>
  <si>
    <t>Mn</t>
  </si>
  <si>
    <t>Zn</t>
  </si>
  <si>
    <t>Sr</t>
  </si>
  <si>
    <t>Ba</t>
  </si>
  <si>
    <t>Pb</t>
  </si>
  <si>
    <t>Ca</t>
  </si>
  <si>
    <t>u</t>
  </si>
  <si>
    <t>mol/mol</t>
  </si>
  <si>
    <t>mmol/mol</t>
  </si>
  <si>
    <t>µmol/mol</t>
  </si>
  <si>
    <t>min</t>
  </si>
  <si>
    <t>max</t>
  </si>
  <si>
    <t>x times less</t>
  </si>
  <si>
    <t>Gaetani &amp; Cohen (2006), exchange coefficients arag / water</t>
  </si>
  <si>
    <t>seawater</t>
  </si>
  <si>
    <t>inorg arag</t>
  </si>
  <si>
    <t>ln KD</t>
  </si>
  <si>
    <t>T(K)</t>
  </si>
  <si>
    <t>T(°C)</t>
  </si>
  <si>
    <t>av</t>
  </si>
  <si>
    <t>expected</t>
  </si>
  <si>
    <t>+,+</t>
  </si>
  <si>
    <t>-,+</t>
  </si>
  <si>
    <t>-,-</t>
  </si>
  <si>
    <t>+,-</t>
  </si>
  <si>
    <t>KD av</t>
  </si>
  <si>
    <r>
      <t>KD(</t>
    </r>
    <r>
      <rPr>
        <b/>
        <sz val="11"/>
        <color theme="1"/>
        <rFont val="Calibri"/>
        <family val="2"/>
        <scheme val="minor"/>
      </rPr>
      <t>Sr/Ca</t>
    </r>
    <r>
      <rPr>
        <sz val="11"/>
        <color theme="1"/>
        <rFont val="Calibri"/>
        <family val="2"/>
        <scheme val="minor"/>
      </rPr>
      <t>)[Doerner-Hoskins]</t>
    </r>
  </si>
  <si>
    <r>
      <t>KD(</t>
    </r>
    <r>
      <rPr>
        <b/>
        <sz val="11"/>
        <color theme="1"/>
        <rFont val="Calibri"/>
        <family val="2"/>
        <scheme val="minor"/>
      </rPr>
      <t>Mg/Ca</t>
    </r>
    <r>
      <rPr>
        <sz val="11"/>
        <color theme="1"/>
        <rFont val="Calibri"/>
        <family val="2"/>
        <scheme val="minor"/>
      </rPr>
      <t>)[Doerner-Hoskins]</t>
    </r>
  </si>
  <si>
    <r>
      <t>KD(</t>
    </r>
    <r>
      <rPr>
        <b/>
        <sz val="11"/>
        <color theme="1"/>
        <rFont val="Calibri"/>
        <family val="2"/>
        <scheme val="minor"/>
      </rPr>
      <t>Ba/Ca</t>
    </r>
    <r>
      <rPr>
        <sz val="11"/>
        <color theme="1"/>
        <rFont val="Calibri"/>
        <family val="2"/>
        <scheme val="minor"/>
      </rPr>
      <t>)[Doerner-Hoskins]</t>
    </r>
  </si>
  <si>
    <r>
      <t>KD(</t>
    </r>
    <r>
      <rPr>
        <b/>
        <sz val="11"/>
        <color theme="1"/>
        <rFont val="Calibri"/>
        <family val="2"/>
        <scheme val="minor"/>
      </rPr>
      <t>Sr/Ca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</si>
  <si>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Mg/Ca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</si>
  <si>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Ba/Ca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</si>
  <si>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B/Ca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</si>
  <si>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Na/Ca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</si>
  <si>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Al/Ca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</si>
  <si>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K/Ca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</si>
  <si>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Mn/Ca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</si>
  <si>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Zn/Ca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</si>
  <si>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Pb/Ca</t>
    </r>
    <r>
      <rPr>
        <sz val="11"/>
        <color theme="1"/>
        <rFont val="Calibri"/>
        <family val="2"/>
        <scheme val="minor"/>
      </rPr>
      <t>)</t>
    </r>
  </si>
  <si>
    <r>
      <t>KD(</t>
    </r>
    <r>
      <rPr>
        <b/>
        <sz val="11"/>
        <color theme="1"/>
        <rFont val="Calibri"/>
        <family val="2"/>
        <scheme val="minor"/>
      </rPr>
      <t>Li/Ca</t>
    </r>
    <r>
      <rPr>
        <sz val="11"/>
        <color theme="1"/>
        <rFont val="Calibri"/>
        <family val="2"/>
        <scheme val="minor"/>
      </rPr>
      <t>)</t>
    </r>
  </si>
  <si>
    <t>Li</t>
  </si>
  <si>
    <t>Li/Ca</t>
  </si>
  <si>
    <t>U</t>
  </si>
  <si>
    <t>U/Ca</t>
  </si>
  <si>
    <r>
      <t>KD(</t>
    </r>
    <r>
      <rPr>
        <b/>
        <sz val="11"/>
        <color theme="1"/>
        <rFont val="Calibri"/>
        <family val="2"/>
        <scheme val="minor"/>
      </rPr>
      <t>U/Ca</t>
    </r>
    <r>
      <rPr>
        <sz val="11"/>
        <color theme="1"/>
        <rFont val="Calibri"/>
        <family val="2"/>
        <scheme val="minor"/>
      </rPr>
      <t>)</t>
    </r>
  </si>
  <si>
    <t>pH</t>
  </si>
  <si>
    <t>Mavromantis et al. 2018</t>
  </si>
  <si>
    <t>Gabitov et al 2011</t>
  </si>
  <si>
    <t>DeCarlo et al 2015</t>
  </si>
  <si>
    <t>Mavromantis et al. 2015</t>
  </si>
  <si>
    <t>S</t>
  </si>
  <si>
    <t>32-37</t>
  </si>
  <si>
    <t>Crocket et al. 1966</t>
  </si>
  <si>
    <t>7.2-8.6</t>
  </si>
  <si>
    <t>Arctica, annual av</t>
  </si>
  <si>
    <t>KD</t>
  </si>
  <si>
    <t>Okumura &amp; Kitano 1986 in Ram &amp; Erez 2021</t>
  </si>
  <si>
    <t>Kinsman 1970 in Ram &amp; Erez 2021</t>
  </si>
  <si>
    <t>KD(Ba/Ca)</t>
  </si>
  <si>
    <t>background</t>
  </si>
  <si>
    <t>water data: https://www.mbari.org/science/upper-ocean-systems/chemical-sensor-group/periodic-table-of-elements-in-the-ocean/</t>
  </si>
  <si>
    <t>mmol/kg</t>
  </si>
  <si>
    <t>µmol/kg</t>
  </si>
  <si>
    <t xml:space="preserve"> </t>
  </si>
  <si>
    <t>pmol/kg</t>
  </si>
  <si>
    <t>nmol/mol</t>
  </si>
  <si>
    <t>nmol/kg</t>
  </si>
  <si>
    <t>mol</t>
  </si>
  <si>
    <t>long-term av</t>
  </si>
  <si>
    <t>x times lower</t>
  </si>
  <si>
    <t>x times higher</t>
  </si>
  <si>
    <t>av measured</t>
  </si>
  <si>
    <t>… higher</t>
  </si>
  <si>
    <t>long-term ann av</t>
  </si>
  <si>
    <t>KD lower</t>
  </si>
  <si>
    <t>…higher</t>
  </si>
  <si>
    <t>Ba/Ca background</t>
  </si>
  <si>
    <t>Comparison to seawater</t>
  </si>
  <si>
    <t>Comparison to inorganic aragonite</t>
  </si>
  <si>
    <t>Background</t>
  </si>
  <si>
    <t>X/Ca</t>
  </si>
  <si>
    <t>Reference</t>
  </si>
  <si>
    <t>Arctica islandica</t>
  </si>
  <si>
    <t>Holcomb et al., 2016</t>
  </si>
  <si>
    <t>Mavromantis et al., 2015</t>
  </si>
  <si>
    <t>Holcomb et al. 2016</t>
  </si>
  <si>
    <t>40.51 mmol/mol</t>
  </si>
  <si>
    <t>45.67 mol/mol</t>
  </si>
  <si>
    <t>5.13 mol/mol</t>
  </si>
  <si>
    <t>0.11 µmol/mol</t>
  </si>
  <si>
    <t>0.99 mol/mol</t>
  </si>
  <si>
    <t>35.05 nmol/mol</t>
  </si>
  <si>
    <t>0.53 µmol/mol</t>
  </si>
  <si>
    <t>8.67 mmol/mol</t>
  </si>
  <si>
    <t>10.61 µmol/mol</t>
  </si>
  <si>
    <t>1.27 nmol/mol</t>
  </si>
  <si>
    <t>Gaetani &amp; Cohen, 2006</t>
  </si>
  <si>
    <t>T=25°C</t>
  </si>
  <si>
    <t>T=15°C</t>
  </si>
  <si>
    <t>Mavromantis et al., 2018</t>
  </si>
  <si>
    <t>T=5°C, pH=9.65</t>
  </si>
  <si>
    <t>* Doerner Hoskins</t>
  </si>
  <si>
    <t>T=15°C, pH=9.50</t>
  </si>
  <si>
    <t>T=25°C, pH=9.35</t>
  </si>
  <si>
    <t>T=5-25°C, pH=7.4-9.5</t>
  </si>
  <si>
    <t>Seawater ele/Ca</t>
  </si>
  <si>
    <t>Dietzel et al., 2004</t>
  </si>
  <si>
    <t>Mariott et al., 20041,b</t>
  </si>
  <si>
    <t>G&amp;C06</t>
  </si>
  <si>
    <t>T=20-40°C, pH=7.4-9.5</t>
  </si>
  <si>
    <t>20-40°C</t>
  </si>
  <si>
    <t>from Yu et al., 2007</t>
  </si>
  <si>
    <t>[B(OH)4-/HCO3-]</t>
  </si>
  <si>
    <t>Kitano et al. 1975</t>
  </si>
  <si>
    <t>Okumura &amp; Kitano 1986</t>
  </si>
  <si>
    <t>8.2-8.88</t>
  </si>
  <si>
    <t>T=50°C</t>
  </si>
  <si>
    <t>Ultrafiltrated seawater</t>
  </si>
  <si>
    <t>molar ratio</t>
  </si>
  <si>
    <t>35.05 mmol/mol</t>
  </si>
  <si>
    <t>B/Ca*</t>
  </si>
  <si>
    <t>40 mmol/mol</t>
  </si>
  <si>
    <t>long-term average</t>
  </si>
  <si>
    <t>Arctica islandica, annual X/Ca averages</t>
  </si>
  <si>
    <t>unit</t>
  </si>
  <si>
    <t>KD values</t>
  </si>
  <si>
    <t>Ba bgr lower</t>
  </si>
  <si>
    <t>Kinsman 1970 cited in Ram &amp; Erez 2021</t>
  </si>
  <si>
    <t>KD X/Ca</t>
  </si>
  <si>
    <t>Max</t>
  </si>
  <si>
    <t>Min</t>
  </si>
  <si>
    <t>Unit</t>
  </si>
  <si>
    <t>Inorganic aragonite</t>
  </si>
  <si>
    <t>Precipitation conditions</t>
  </si>
  <si>
    <t>Annual X/Ca</t>
  </si>
  <si>
    <t>KD values (2-11°C)</t>
  </si>
  <si>
    <t>T=2°C*</t>
  </si>
  <si>
    <t>T=11°C*</t>
  </si>
  <si>
    <t>T=25°C*</t>
  </si>
  <si>
    <t>Average</t>
  </si>
  <si>
    <t>T=20°C*, pH=8.2-8.88</t>
  </si>
  <si>
    <t>AlKhatib &amp; Eisenhauer, 2017</t>
  </si>
  <si>
    <t>T=10°C</t>
  </si>
  <si>
    <t>mM/M</t>
  </si>
  <si>
    <t>mM/mM</t>
  </si>
  <si>
    <t>Sr/Ca solution</t>
  </si>
  <si>
    <t>calculated</t>
  </si>
  <si>
    <t>listed</t>
  </si>
  <si>
    <t>cal</t>
  </si>
  <si>
    <t>Sr2+</t>
  </si>
  <si>
    <t>Ca2+</t>
  </si>
  <si>
    <t>calc</t>
  </si>
  <si>
    <t>Mg2+</t>
  </si>
  <si>
    <t>Mg/Ca solution</t>
  </si>
  <si>
    <t>T=12.5°C, pH=7.99, S=35.38</t>
  </si>
  <si>
    <t>Na+</t>
  </si>
  <si>
    <t>uNa</t>
  </si>
  <si>
    <t>mol/L</t>
  </si>
  <si>
    <t>parent solution</t>
  </si>
  <si>
    <t>crystal</t>
  </si>
  <si>
    <t>ppm</t>
  </si>
  <si>
    <t>Ca+</t>
  </si>
  <si>
    <t>g/L</t>
  </si>
  <si>
    <t>mg/L</t>
  </si>
  <si>
    <t>meq/kg</t>
  </si>
  <si>
    <t>Ca2+ = 380 mg/L</t>
  </si>
  <si>
    <t>ppm = µg/g</t>
  </si>
  <si>
    <t>mg/kg</t>
  </si>
  <si>
    <t>µg/g</t>
  </si>
  <si>
    <t>A. islandica</t>
  </si>
  <si>
    <t xml:space="preserve">shell </t>
  </si>
  <si>
    <t>https://ascelibrary.org/doi/pdf/10.1061/9780784411698.apa</t>
  </si>
  <si>
    <t>meq/L to mg/L</t>
  </si>
  <si>
    <t>log-transformed data</t>
  </si>
  <si>
    <t>K+</t>
  </si>
  <si>
    <t>uK</t>
  </si>
  <si>
    <t>day</t>
  </si>
  <si>
    <t>Ca in CaCO3</t>
  </si>
  <si>
    <t>Sr ppm</t>
  </si>
  <si>
    <t>u Sr</t>
  </si>
  <si>
    <t>Sr/Ca mmol/mol</t>
  </si>
  <si>
    <t>log(x)</t>
  </si>
  <si>
    <t>ln(x)</t>
  </si>
  <si>
    <t>10^x</t>
  </si>
  <si>
    <t>e^x</t>
  </si>
  <si>
    <t>Okumura &amp; Kitano 1986: arag</t>
  </si>
  <si>
    <t>Kitano et al., 1975: arag</t>
  </si>
  <si>
    <t>log KD(Ba/Ca) [arag]</t>
  </si>
  <si>
    <t>T=25°C, pH=6.28</t>
  </si>
  <si>
    <t>log KD(B/Ca) [arag]</t>
  </si>
  <si>
    <t>KD(B/Ca)</t>
  </si>
  <si>
    <t>Mavromantis et al., 2015: arag, 5°C</t>
  </si>
  <si>
    <t>see Holcomb et al. (2016) as calculation is not trivial… carbonate chemistry needs to be considered</t>
  </si>
  <si>
    <t>0.03 to 0.0003</t>
  </si>
  <si>
    <t>5-25°C</t>
  </si>
  <si>
    <t>7.42-9.49</t>
  </si>
  <si>
    <t>Ca: 114 pm</t>
  </si>
  <si>
    <t>x+DJ12DF9DDG9:DH12</t>
  </si>
  <si>
    <t>2+</t>
  </si>
  <si>
    <t>log X ion radius</t>
  </si>
  <si>
    <t>hs, 2+</t>
  </si>
  <si>
    <t>X ion radius (pm) in crystal</t>
  </si>
  <si>
    <t>X ion radius (A) in crystal</t>
  </si>
  <si>
    <t>X ion radius (pm) effectively</t>
  </si>
  <si>
    <t>X ion radius (A) effectively</t>
  </si>
  <si>
    <t>coordination : 6</t>
  </si>
  <si>
    <t>effectively</t>
  </si>
  <si>
    <t>3+</t>
  </si>
  <si>
    <t>1+</t>
  </si>
  <si>
    <t>A. islandica, annual X/Ca</t>
  </si>
  <si>
    <t>test!</t>
  </si>
  <si>
    <t>Shell ppm</t>
  </si>
  <si>
    <t>X/Ca mM/M</t>
  </si>
  <si>
    <t>shell</t>
  </si>
  <si>
    <t>Onuma et al. 1979</t>
  </si>
  <si>
    <t>EPF ppm</t>
  </si>
  <si>
    <t>A</t>
  </si>
  <si>
    <t>molar conc</t>
  </si>
  <si>
    <t>mol/kg</t>
  </si>
  <si>
    <t>Seawater</t>
  </si>
  <si>
    <t>Shell av</t>
  </si>
  <si>
    <t>uSr</t>
  </si>
  <si>
    <t>uCa</t>
  </si>
  <si>
    <t>Sewater</t>
  </si>
  <si>
    <t>Shell max</t>
  </si>
  <si>
    <t>Ba background</t>
  </si>
  <si>
    <t>D</t>
  </si>
  <si>
    <t>D (Nerst)</t>
  </si>
  <si>
    <t>parent fluid</t>
  </si>
  <si>
    <t>Gaetani &amp; Cohen 2006, 5°C</t>
  </si>
  <si>
    <t>Crocket &amp; Winchester 1966</t>
  </si>
  <si>
    <t>water</t>
  </si>
  <si>
    <t>Zn/Ca(shell)</t>
  </si>
  <si>
    <t>Zn/Ca(water)</t>
  </si>
  <si>
    <t>molar ratios</t>
  </si>
  <si>
    <t>KD (Zn/Ca)</t>
  </si>
  <si>
    <t>mol/kg (molality)</t>
  </si>
  <si>
    <t>g/kg</t>
  </si>
  <si>
    <t>promil</t>
  </si>
  <si>
    <t>arag</t>
  </si>
  <si>
    <t>D (Nernst)</t>
  </si>
  <si>
    <t>AlKhatib &amp; Eisenhauer, 2017: arag, 12.5°C</t>
  </si>
  <si>
    <t>mM</t>
  </si>
  <si>
    <t>solution listed</t>
  </si>
  <si>
    <t>solution</t>
  </si>
  <si>
    <t>arag listed</t>
  </si>
  <si>
    <t>ppm calc</t>
  </si>
  <si>
    <t>D(Sr)</t>
  </si>
  <si>
    <t>D(Mg)</t>
  </si>
  <si>
    <t>mmol/L</t>
  </si>
  <si>
    <t>g/L = 1000 ppm</t>
  </si>
  <si>
    <t>µg</t>
  </si>
  <si>
    <t>mg</t>
  </si>
  <si>
    <t>µM/M</t>
  </si>
  <si>
    <t>g</t>
  </si>
  <si>
    <t>g H2O</t>
  </si>
  <si>
    <t>g Zn</t>
  </si>
  <si>
    <t>g/L=mol/L * u</t>
  </si>
  <si>
    <t>Kitano et al., 1975: arag, 15°C</t>
  </si>
  <si>
    <t>test: KD(Sr/Ca)</t>
  </si>
  <si>
    <t>Mg/Ca (mM/M)</t>
  </si>
  <si>
    <t>Sr/Ca (mM/M)</t>
  </si>
  <si>
    <t>Ba/Ca (µM/M)</t>
  </si>
  <si>
    <t>Ca (wt%)</t>
  </si>
  <si>
    <t>aragonite</t>
  </si>
  <si>
    <t>5°C</t>
  </si>
  <si>
    <t>Gaetani &amp; Cohen 2006</t>
  </si>
  <si>
    <t>ppb</t>
  </si>
  <si>
    <t>15°C</t>
  </si>
  <si>
    <t>G&amp;C06: 5°C</t>
  </si>
  <si>
    <t>G&amp;C06 15°C</t>
  </si>
  <si>
    <t>Crocket &amp; Winchester 1966: 50°C</t>
  </si>
  <si>
    <t>Zn (solution)</t>
  </si>
  <si>
    <t>Zn/Ca(arag)</t>
  </si>
  <si>
    <t>Zn (arag)</t>
  </si>
  <si>
    <t>Marriott et al., 2004: arag. 25°C, 30 PSU</t>
  </si>
  <si>
    <t>Li/Ca (µM/M)</t>
  </si>
  <si>
    <t>Li/Ca (mM/M)</t>
  </si>
  <si>
    <t>Ca ppm</t>
  </si>
  <si>
    <t>Li ppb</t>
  </si>
  <si>
    <t>estimated!</t>
  </si>
  <si>
    <t>Seawater Stanford</t>
  </si>
  <si>
    <t>Seawater MBARI</t>
  </si>
  <si>
    <t>Marriott et al., 2004 (CG): arag. 25°C, 30 PSU</t>
  </si>
  <si>
    <t>ion radius crystal</t>
  </si>
  <si>
    <t>ion r eff VI</t>
  </si>
  <si>
    <t>ion r eff mix</t>
  </si>
  <si>
    <t>logD</t>
  </si>
  <si>
    <t>E</t>
  </si>
  <si>
    <t>92GPa</t>
  </si>
  <si>
    <t>Bass et al., 1995; Blundy &amp; Wood, 1994</t>
  </si>
  <si>
    <t>1.18A</t>
  </si>
  <si>
    <t>Shannon, 1976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</si>
  <si>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</si>
  <si>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N</t>
    </r>
    <r>
      <rPr>
        <vertAlign val="subscript"/>
        <sz val="11"/>
        <color theme="1"/>
        <rFont val="Calibri"/>
        <family val="2"/>
        <scheme val="minor"/>
      </rPr>
      <t>A</t>
    </r>
  </si>
  <si>
    <t>R</t>
  </si>
  <si>
    <t>8.31446261815324 J/molK</t>
  </si>
  <si>
    <t>Di</t>
  </si>
  <si>
    <t>D(Ca)@5°C=1840</t>
  </si>
  <si>
    <t>D(Ca)@15°C=1961</t>
  </si>
  <si>
    <t>ri (A)</t>
  </si>
  <si>
    <t>IX</t>
  </si>
  <si>
    <t>VIII</t>
  </si>
  <si>
    <t>coord.</t>
  </si>
  <si>
    <t>6.02214076*10^23 / mol</t>
  </si>
  <si>
    <t>logDi</t>
  </si>
  <si>
    <t>ri(mm)</t>
  </si>
  <si>
    <t>T</t>
  </si>
  <si>
    <t>coord</t>
  </si>
  <si>
    <t>lattice strain model</t>
  </si>
  <si>
    <t>G&amp;C06 5°C</t>
  </si>
  <si>
    <t>Okumura &amp; Kitano 1986: 25°C</t>
  </si>
  <si>
    <t>support</t>
  </si>
  <si>
    <t>divalent cations</t>
  </si>
  <si>
    <t>monovalent</t>
  </si>
  <si>
    <t>trivalent</t>
  </si>
  <si>
    <t>ri in red = estimated</t>
  </si>
  <si>
    <t>VI</t>
  </si>
  <si>
    <t>IV</t>
  </si>
  <si>
    <t>V</t>
  </si>
  <si>
    <t>Mn (hs)</t>
  </si>
  <si>
    <t>VII</t>
  </si>
  <si>
    <t>Arctica</t>
  </si>
  <si>
    <t>III</t>
  </si>
  <si>
    <t>in mm!!!</t>
  </si>
  <si>
    <t>Onuma et al 79 / Wada &amp; Fujinuki 76</t>
  </si>
  <si>
    <t>seawater ppm</t>
  </si>
  <si>
    <t>eff</t>
  </si>
  <si>
    <t>Shannon</t>
  </si>
  <si>
    <t>Cu</t>
  </si>
  <si>
    <t>Fe</t>
  </si>
  <si>
    <t>% diff EPF</t>
  </si>
  <si>
    <t>Mavromatis et al 2018</t>
  </si>
  <si>
    <t>Soldati et al 2016</t>
  </si>
  <si>
    <t>cc: 69.9</t>
  </si>
  <si>
    <t>KD(D)</t>
  </si>
  <si>
    <t>KD(DH)</t>
  </si>
  <si>
    <t>Note:</t>
  </si>
  <si>
    <t>KD=(Sr/Ca[M/M])s/(Sr/Ca[M/M])f=(Sr/Ca[ppm/ppm])s/(Sr/Ca[ppm/ppm])f=DSr/Dca</t>
  </si>
  <si>
    <t>Sr/Ca(arag) mM/M</t>
  </si>
  <si>
    <t>Sr/Ca(predicted arag) mM/M</t>
  </si>
  <si>
    <t>Sr/Ca(f) mM/M</t>
  </si>
  <si>
    <t>DCa in s</t>
  </si>
  <si>
    <t>DSr in s (model)</t>
  </si>
  <si>
    <t>Arctica av</t>
  </si>
  <si>
    <t>Sr(f) ppm</t>
  </si>
  <si>
    <t>Ca(f) ppm</t>
  </si>
  <si>
    <t>long-term av measured</t>
  </si>
  <si>
    <t>Modification of EPF chemistry not simply by addition of Ca, because depletion factors differ for Sr, Mg and Ba… proton pumping (Al-Horani et al., 2003)</t>
  </si>
  <si>
    <t>differences possibly explained by EPF modification from solution that differs from seawater!</t>
  </si>
  <si>
    <t>Sr more different than Mg, meaning not just undiscriminated transport across epithelium through Ca channels, Ca_ATPase</t>
  </si>
  <si>
    <t>using EPF data from Onuma</t>
  </si>
  <si>
    <t>Legend:</t>
  </si>
  <si>
    <t>Inorganic aragonite (various sources)</t>
  </si>
  <si>
    <t>Arctica monovalent cations</t>
  </si>
  <si>
    <t>Arctica all cations</t>
  </si>
  <si>
    <r>
      <t xml:space="preserve">Onuma et al. (1979): </t>
    </r>
    <r>
      <rPr>
        <b/>
        <i/>
        <sz val="11"/>
        <color rgb="FFFF0000"/>
        <rFont val="Calibri"/>
        <family val="2"/>
        <scheme val="minor"/>
      </rPr>
      <t>Pinctada</t>
    </r>
  </si>
  <si>
    <t>Lattice strain model (red dotted curve)</t>
  </si>
  <si>
    <t>Supplements_5</t>
  </si>
  <si>
    <t>Nernst partition coefficients versus ion radius: Lattice strain model calculations</t>
  </si>
  <si>
    <t>Metadata</t>
  </si>
  <si>
    <t>KD values (molar partition coefficients): Arctica vs seawater chemistry and vs. inorganic aragonite</t>
  </si>
  <si>
    <t>Lattcie strain model</t>
  </si>
  <si>
    <t>Chemical impurities in inorganic aragonite: data from literature, data extraction, recalculation</t>
  </si>
  <si>
    <t>Chemical impurities in Pinctada (Wada &amp; Fujinuki 1974, 1976 reported in Onuma et al., 1979)</t>
  </si>
  <si>
    <r>
      <t xml:space="preserve">comparison of data from inorganic aragonite, </t>
    </r>
    <r>
      <rPr>
        <i/>
        <sz val="11"/>
        <color theme="1"/>
        <rFont val="Calibri"/>
        <family val="2"/>
        <scheme val="minor"/>
      </rPr>
      <t>Pinctada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Arctica islandica</t>
    </r>
    <r>
      <rPr>
        <sz val="11"/>
        <color theme="1"/>
        <rFont val="Calibri"/>
        <family val="2"/>
        <scheme val="minor"/>
      </rPr>
      <t xml:space="preserve"> (shell vs seawater and shell vs EPF [using data from Pinctada cf. Wada &amp; Fujinuki, 1974, 1976]</t>
    </r>
  </si>
  <si>
    <t>ID</t>
  </si>
  <si>
    <t>date</t>
  </si>
  <si>
    <t>comments</t>
  </si>
  <si>
    <t>Sr407.771 (ppm)</t>
  </si>
  <si>
    <t>Ca317.933 (ppm)</t>
  </si>
  <si>
    <t>Sr/Ca (mmol/mol)</t>
  </si>
  <si>
    <t>ICE12-09 W1</t>
  </si>
  <si>
    <t>&lt;10m</t>
  </si>
  <si>
    <t>ICE12-13 W2</t>
  </si>
  <si>
    <t>seawater sample, bottom</t>
  </si>
  <si>
    <t>20m</t>
  </si>
  <si>
    <t>ICE12-13 W3</t>
  </si>
  <si>
    <t>0m</t>
  </si>
  <si>
    <t>ICE12-16 W4</t>
  </si>
  <si>
    <t>ICE12-16 W5</t>
  </si>
  <si>
    <t>Ryk14</t>
  </si>
  <si>
    <t>Ryk15</t>
  </si>
  <si>
    <t>ICE12-09</t>
  </si>
  <si>
    <t>ICE12-13</t>
  </si>
  <si>
    <t>ICE12-16</t>
  </si>
  <si>
    <t>NE Iceland</t>
  </si>
  <si>
    <t>Reykjavík</t>
  </si>
  <si>
    <t>surface</t>
  </si>
  <si>
    <t>water depth</t>
  </si>
  <si>
    <t>seawater sample, surface</t>
  </si>
  <si>
    <t>64°07'52.32" N, 021°57'38.35" W</t>
  </si>
  <si>
    <t>66°11'58.68" N, 015°22'32.76" W</t>
  </si>
  <si>
    <t>66°11'23.46" N, 015°20'34.02" W</t>
  </si>
  <si>
    <t>66°10'12.48" N, 015°21'44.58" W</t>
  </si>
  <si>
    <t>SrCa data seawater Iceland</t>
  </si>
  <si>
    <t>Shannon (1976): coord VI</t>
  </si>
  <si>
    <t>Onuma et al. (1979) data</t>
  </si>
  <si>
    <t>Ele/Ca</t>
  </si>
  <si>
    <t>EPF</t>
  </si>
  <si>
    <t>KD (shell vs EPF)</t>
  </si>
  <si>
    <t>Ele/Ca (shell)</t>
  </si>
  <si>
    <t>Ele/Ca (EPF)</t>
  </si>
  <si>
    <t>% diff</t>
  </si>
  <si>
    <t>times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</si>
</sst>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0.0"/>
    <numFmt numFmtId="166" formatCode="0.0000"/>
    <numFmt numFmtId="167" formatCode="0.E+00"/>
    <numFmt numFmtId="168" formatCode="0.000000"/>
    <numFmt numFmtId="169" formatCode="0.000"/>
    <numFmt numFmtId="170" formatCode="0.000000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2" borderId="0" xfId="0" applyFill="1"/>
    <xf numFmtId="0" fontId="0" fillId="0" borderId="0" xfId="0" applyFill="1"/>
    <xf numFmtId="0" fontId="0" fillId="0" borderId="0" xfId="0" quotePrefix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164" fontId="0" fillId="0" borderId="0" xfId="0" applyNumberFormat="1"/>
    <xf numFmtId="0" fontId="1" fillId="0" borderId="0" xfId="0" quotePrefix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right"/>
    </xf>
    <xf numFmtId="0" fontId="2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5" fillId="3" borderId="0" xfId="0" applyFont="1" applyFill="1"/>
    <xf numFmtId="0" fontId="2" fillId="3" borderId="0" xfId="0" applyFont="1" applyFill="1" applyAlignment="1">
      <alignment horizontal="left"/>
    </xf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2" fontId="0" fillId="4" borderId="0" xfId="0" applyNumberFormat="1" applyFill="1"/>
    <xf numFmtId="0" fontId="1" fillId="5" borderId="0" xfId="0" applyFont="1" applyFill="1"/>
    <xf numFmtId="165" fontId="0" fillId="0" borderId="0" xfId="0" applyNumberFormat="1"/>
    <xf numFmtId="166" fontId="6" fillId="0" borderId="0" xfId="0" applyNumberFormat="1" applyFont="1"/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165" fontId="0" fillId="6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168" fontId="0" fillId="0" borderId="0" xfId="0" applyNumberFormat="1" applyFont="1"/>
    <xf numFmtId="168" fontId="1" fillId="0" borderId="0" xfId="0" applyNumberFormat="1" applyFont="1"/>
    <xf numFmtId="1" fontId="5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166" fontId="1" fillId="0" borderId="0" xfId="0" applyNumberFormat="1" applyFont="1"/>
    <xf numFmtId="1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2" fontId="3" fillId="4" borderId="0" xfId="0" applyNumberFormat="1" applyFont="1" applyFill="1"/>
    <xf numFmtId="2" fontId="3" fillId="5" borderId="0" xfId="0" applyNumberFormat="1" applyFont="1" applyFill="1"/>
    <xf numFmtId="0" fontId="3" fillId="3" borderId="0" xfId="0" applyFont="1" applyFill="1"/>
    <xf numFmtId="2" fontId="7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168" fontId="7" fillId="0" borderId="0" xfId="0" applyNumberFormat="1" applyFont="1"/>
    <xf numFmtId="2" fontId="0" fillId="7" borderId="0" xfId="0" applyNumberFormat="1" applyFill="1"/>
    <xf numFmtId="0" fontId="0" fillId="3" borderId="0" xfId="0" applyFont="1" applyFill="1"/>
    <xf numFmtId="0" fontId="2" fillId="0" borderId="0" xfId="0" applyFont="1"/>
    <xf numFmtId="168" fontId="6" fillId="0" borderId="0" xfId="0" applyNumberFormat="1" applyFont="1"/>
    <xf numFmtId="165" fontId="5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165" fontId="0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0" fontId="8" fillId="0" borderId="0" xfId="0" applyFont="1" applyAlignment="1">
      <alignment horizontal="left"/>
    </xf>
    <xf numFmtId="2" fontId="6" fillId="6" borderId="0" xfId="0" applyNumberFormat="1" applyFont="1" applyFill="1"/>
    <xf numFmtId="2" fontId="5" fillId="6" borderId="0" xfId="0" applyNumberFormat="1" applyFont="1" applyFill="1"/>
    <xf numFmtId="0" fontId="9" fillId="0" borderId="0" xfId="0" applyFont="1"/>
    <xf numFmtId="2" fontId="0" fillId="0" borderId="0" xfId="0" applyNumberFormat="1" applyFill="1"/>
    <xf numFmtId="0" fontId="1" fillId="0" borderId="0" xfId="0" applyFont="1" applyFill="1"/>
    <xf numFmtId="2" fontId="9" fillId="5" borderId="0" xfId="0" applyNumberFormat="1" applyFont="1" applyFill="1"/>
    <xf numFmtId="165" fontId="9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0" fontId="10" fillId="0" borderId="0" xfId="0" applyFont="1"/>
    <xf numFmtId="0" fontId="0" fillId="5" borderId="0" xfId="0" applyFill="1"/>
    <xf numFmtId="165" fontId="0" fillId="5" borderId="0" xfId="0" applyNumberFormat="1" applyFont="1" applyFill="1"/>
    <xf numFmtId="0" fontId="0" fillId="5" borderId="0" xfId="0" applyFont="1" applyFill="1"/>
    <xf numFmtId="0" fontId="2" fillId="5" borderId="0" xfId="0" applyFont="1" applyFill="1"/>
    <xf numFmtId="166" fontId="9" fillId="0" borderId="0" xfId="0" applyNumberFormat="1" applyFont="1"/>
    <xf numFmtId="164" fontId="9" fillId="0" borderId="0" xfId="0" applyNumberFormat="1" applyFont="1"/>
    <xf numFmtId="168" fontId="9" fillId="0" borderId="0" xfId="0" applyNumberFormat="1" applyFont="1"/>
    <xf numFmtId="0" fontId="0" fillId="3" borderId="0" xfId="0" applyFill="1" applyAlignment="1">
      <alignment horizontal="right"/>
    </xf>
    <xf numFmtId="2" fontId="11" fillId="0" borderId="0" xfId="0" applyNumberFormat="1" applyFont="1"/>
    <xf numFmtId="169" fontId="9" fillId="0" borderId="0" xfId="0" applyNumberFormat="1" applyFont="1"/>
    <xf numFmtId="168" fontId="12" fillId="0" borderId="0" xfId="0" applyNumberFormat="1" applyFont="1"/>
    <xf numFmtId="0" fontId="12" fillId="0" borderId="0" xfId="0" applyFont="1"/>
    <xf numFmtId="1" fontId="12" fillId="0" borderId="0" xfId="0" applyNumberFormat="1" applyFont="1"/>
    <xf numFmtId="2" fontId="12" fillId="0" borderId="0" xfId="0" applyNumberFormat="1" applyFont="1"/>
    <xf numFmtId="166" fontId="12" fillId="0" borderId="0" xfId="0" applyNumberFormat="1" applyFont="1"/>
    <xf numFmtId="2" fontId="3" fillId="7" borderId="0" xfId="0" applyNumberFormat="1" applyFont="1" applyFill="1"/>
    <xf numFmtId="2" fontId="0" fillId="7" borderId="0" xfId="0" applyNumberFormat="1" applyFont="1" applyFill="1"/>
    <xf numFmtId="2" fontId="5" fillId="7" borderId="0" xfId="0" applyNumberFormat="1" applyFont="1" applyFill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2" fontId="15" fillId="0" borderId="0" xfId="0" applyNumberFormat="1" applyFont="1"/>
    <xf numFmtId="2" fontId="14" fillId="0" borderId="0" xfId="0" applyNumberFormat="1" applyFont="1"/>
    <xf numFmtId="164" fontId="12" fillId="0" borderId="0" xfId="0" applyNumberFormat="1" applyFont="1"/>
    <xf numFmtId="2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2" fontId="18" fillId="0" borderId="0" xfId="0" applyNumberFormat="1" applyFont="1"/>
    <xf numFmtId="2" fontId="1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2" fontId="20" fillId="0" borderId="0" xfId="0" applyNumberFormat="1" applyFont="1"/>
    <xf numFmtId="2" fontId="21" fillId="0" borderId="0" xfId="0" applyNumberFormat="1" applyFont="1"/>
    <xf numFmtId="2" fontId="19" fillId="0" borderId="0" xfId="0" applyNumberFormat="1" applyFont="1"/>
    <xf numFmtId="2" fontId="13" fillId="0" borderId="0" xfId="0" applyNumberFormat="1" applyFont="1"/>
    <xf numFmtId="169" fontId="0" fillId="0" borderId="0" xfId="0" applyNumberFormat="1"/>
    <xf numFmtId="169" fontId="3" fillId="0" borderId="0" xfId="0" applyNumberFormat="1" applyFont="1"/>
    <xf numFmtId="2" fontId="9" fillId="0" borderId="0" xfId="0" applyNumberFormat="1" applyFont="1" applyFill="1"/>
    <xf numFmtId="0" fontId="22" fillId="0" borderId="0" xfId="0" applyFont="1"/>
    <xf numFmtId="170" fontId="22" fillId="0" borderId="0" xfId="0" applyNumberFormat="1" applyFont="1"/>
    <xf numFmtId="164" fontId="22" fillId="0" borderId="0" xfId="0" applyNumberFormat="1" applyFont="1"/>
    <xf numFmtId="1" fontId="10" fillId="0" borderId="0" xfId="0" applyNumberFormat="1" applyFont="1"/>
    <xf numFmtId="1" fontId="9" fillId="0" borderId="0" xfId="0" applyNumberFormat="1" applyFont="1"/>
    <xf numFmtId="1" fontId="2" fillId="0" borderId="0" xfId="0" applyNumberFormat="1" applyFont="1"/>
    <xf numFmtId="0" fontId="0" fillId="2" borderId="0" xfId="0" applyFont="1" applyFill="1"/>
    <xf numFmtId="0" fontId="0" fillId="6" borderId="0" xfId="0" applyFont="1" applyFill="1"/>
    <xf numFmtId="164" fontId="3" fillId="0" borderId="0" xfId="0" applyNumberFormat="1" applyFont="1"/>
    <xf numFmtId="166" fontId="5" fillId="0" borderId="0" xfId="0" applyNumberFormat="1" applyFont="1"/>
    <xf numFmtId="0" fontId="1" fillId="2" borderId="0" xfId="0" applyFont="1" applyFill="1"/>
    <xf numFmtId="0" fontId="1" fillId="6" borderId="0" xfId="0" applyFont="1" applyFill="1"/>
    <xf numFmtId="0" fontId="0" fillId="0" borderId="0" xfId="0" applyFont="1" applyAlignment="1">
      <alignment horizontal="right"/>
    </xf>
    <xf numFmtId="2" fontId="1" fillId="8" borderId="0" xfId="0" applyNumberFormat="1" applyFont="1" applyFill="1"/>
    <xf numFmtId="0" fontId="1" fillId="8" borderId="0" xfId="0" applyFont="1" applyFill="1"/>
    <xf numFmtId="170" fontId="0" fillId="0" borderId="0" xfId="0" applyNumberFormat="1"/>
    <xf numFmtId="1" fontId="0" fillId="6" borderId="0" xfId="0" applyNumberFormat="1" applyFill="1"/>
    <xf numFmtId="170" fontId="1" fillId="0" borderId="0" xfId="0" applyNumberFormat="1" applyFont="1"/>
    <xf numFmtId="11" fontId="0" fillId="0" borderId="0" xfId="0" applyNumberFormat="1"/>
    <xf numFmtId="0" fontId="23" fillId="0" borderId="0" xfId="0" applyFont="1"/>
    <xf numFmtId="0" fontId="0" fillId="2" borderId="0" xfId="0" applyFill="1" applyAlignment="1">
      <alignment horizontal="left"/>
    </xf>
    <xf numFmtId="0" fontId="0" fillId="0" borderId="0" xfId="0" applyFont="1" applyFill="1"/>
    <xf numFmtId="0" fontId="0" fillId="9" borderId="0" xfId="0" applyFont="1" applyFill="1"/>
    <xf numFmtId="0" fontId="0" fillId="8" borderId="0" xfId="0" applyFill="1"/>
    <xf numFmtId="0" fontId="0" fillId="9" borderId="0" xfId="0" applyFill="1"/>
    <xf numFmtId="0" fontId="9" fillId="0" borderId="0" xfId="0" applyFont="1" applyFill="1"/>
    <xf numFmtId="165" fontId="3" fillId="2" borderId="0" xfId="0" applyNumberFormat="1" applyFont="1" applyFill="1"/>
    <xf numFmtId="0" fontId="5" fillId="2" borderId="0" xfId="0" applyFont="1" applyFill="1"/>
    <xf numFmtId="0" fontId="7" fillId="2" borderId="0" xfId="0" applyFont="1" applyFill="1"/>
    <xf numFmtId="165" fontId="3" fillId="10" borderId="0" xfId="0" applyNumberFormat="1" applyFont="1" applyFill="1"/>
    <xf numFmtId="0" fontId="5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4" borderId="0" xfId="0" applyFill="1"/>
    <xf numFmtId="1" fontId="0" fillId="4" borderId="0" xfId="0" applyNumberFormat="1" applyFill="1"/>
    <xf numFmtId="0" fontId="0" fillId="11" borderId="0" xfId="0" applyFill="1"/>
    <xf numFmtId="0" fontId="0" fillId="11" borderId="0" xfId="0" applyFont="1" applyFill="1"/>
    <xf numFmtId="0" fontId="1" fillId="11" borderId="0" xfId="0" applyFont="1" applyFill="1"/>
    <xf numFmtId="0" fontId="15" fillId="0" borderId="0" xfId="0" applyFont="1"/>
    <xf numFmtId="0" fontId="26" fillId="0" borderId="0" xfId="0" applyFont="1"/>
    <xf numFmtId="14" fontId="0" fillId="5" borderId="0" xfId="0" applyNumberFormat="1" applyFill="1" applyAlignment="1">
      <alignment horizontal="center"/>
    </xf>
    <xf numFmtId="2" fontId="0" fillId="5" borderId="0" xfId="0" applyNumberFormat="1" applyFill="1"/>
    <xf numFmtId="14" fontId="0" fillId="6" borderId="0" xfId="0" applyNumberFormat="1" applyFill="1" applyAlignment="1">
      <alignment horizontal="center"/>
    </xf>
    <xf numFmtId="2" fontId="0" fillId="6" borderId="0" xfId="0" applyNumberFormat="1" applyFill="1"/>
    <xf numFmtId="14" fontId="0" fillId="8" borderId="0" xfId="0" applyNumberFormat="1" applyFill="1" applyAlignment="1">
      <alignment horizontal="center"/>
    </xf>
    <xf numFmtId="2" fontId="0" fillId="8" borderId="0" xfId="0" applyNumberFormat="1" applyFill="1"/>
    <xf numFmtId="1" fontId="0" fillId="8" borderId="0" xfId="0" applyNumberFormat="1" applyFill="1"/>
    <xf numFmtId="1" fontId="0" fillId="5" borderId="0" xfId="0" applyNumberFormat="1" applyFill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Mixed</a:t>
            </a:r>
            <a:r>
              <a:rPr lang="en-US" sz="1200" baseline="0"/>
              <a:t> coordination, D </a:t>
            </a:r>
            <a:r>
              <a:rPr lang="en-US" sz="1200" i="1" baseline="0"/>
              <a:t>Arctica </a:t>
            </a:r>
            <a:r>
              <a:rPr lang="en-US" sz="1200" baseline="0"/>
              <a:t>shell/seawater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EA-4584-BE05-F0C396BDE9A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etc.'!$Z$6:$Z$19</c:f>
              <c:numCache>
                <c:formatCode>General</c:formatCode>
                <c:ptCount val="14"/>
                <c:pt idx="2">
                  <c:v>-2.159637194992972</c:v>
                </c:pt>
                <c:pt idx="5">
                  <c:v>-4.3161182439437145</c:v>
                </c:pt>
                <c:pt idx="6">
                  <c:v>-1.826154454065545</c:v>
                </c:pt>
                <c:pt idx="7">
                  <c:v>1.8654280149619975</c:v>
                </c:pt>
                <c:pt idx="8">
                  <c:v>-4.2854371344804481</c:v>
                </c:pt>
                <c:pt idx="9">
                  <c:v>3.2570603834009262</c:v>
                </c:pt>
                <c:pt idx="10">
                  <c:v>3.2648178230095359</c:v>
                </c:pt>
                <c:pt idx="12">
                  <c:v>-18.70076465886174</c:v>
                </c:pt>
                <c:pt idx="13">
                  <c:v>-18.299818342012255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A-4584-BE05-F0C396BDE9A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'Lattice strain model etc.'!$Q$6:$Q$19</c:f>
              <c:numCache>
                <c:formatCode>General</c:formatCode>
                <c:ptCount val="14"/>
                <c:pt idx="1">
                  <c:v>1.24</c:v>
                </c:pt>
                <c:pt idx="4">
                  <c:v>1.55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EA-4584-BE05-F0C396BDE9A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'Lattice strain model etc.'!$AQ$6:$AQ$19</c:f>
              <c:numCache>
                <c:formatCode>General</c:formatCode>
                <c:ptCount val="14"/>
                <c:pt idx="0">
                  <c:v>0.78</c:v>
                </c:pt>
                <c:pt idx="1">
                  <c:v>1.24</c:v>
                </c:pt>
                <c:pt idx="2">
                  <c:v>0.89</c:v>
                </c:pt>
                <c:pt idx="3">
                  <c:v>0.75829999999999997</c:v>
                </c:pt>
                <c:pt idx="4">
                  <c:v>1.55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etc.'!$BB$6:$BB$19</c:f>
              <c:numCache>
                <c:formatCode>General</c:formatCode>
                <c:ptCount val="14"/>
                <c:pt idx="0">
                  <c:v>0.35778422505293161</c:v>
                </c:pt>
                <c:pt idx="1">
                  <c:v>-0.38190633766481685</c:v>
                </c:pt>
                <c:pt idx="2">
                  <c:v>-1.1651494629160619</c:v>
                </c:pt>
                <c:pt idx="3">
                  <c:v>4.9315545768930171</c:v>
                </c:pt>
                <c:pt idx="4">
                  <c:v>-1.1866245760679861</c:v>
                </c:pt>
                <c:pt idx="5">
                  <c:v>4.9430192884187072</c:v>
                </c:pt>
                <c:pt idx="6">
                  <c:v>3.5255171631044333</c:v>
                </c:pt>
                <c:pt idx="7">
                  <c:v>2.2035788080904428</c:v>
                </c:pt>
                <c:pt idx="8">
                  <c:v>2.6953259134115419</c:v>
                </c:pt>
                <c:pt idx="9">
                  <c:v>4.8171767128121621</c:v>
                </c:pt>
                <c:pt idx="10">
                  <c:v>2.9653071120823959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EA-4584-BE05-F0C396BDE9AA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'Lattice strain model etc.'!$S$6:$S$21</c:f>
              <c:numCache>
                <c:formatCode>General</c:formatCode>
                <c:ptCount val="16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  <c:pt idx="14">
                  <c:v>0.73</c:v>
                </c:pt>
                <c:pt idx="15">
                  <c:v>0.92</c:v>
                </c:pt>
              </c:numCache>
            </c:numRef>
          </c:xVal>
          <c:yVal>
            <c:numRef>
              <c:f>'Lattice strain model etc.'!$BN$6:$BN$21</c:f>
              <c:numCache>
                <c:formatCode>General</c:formatCode>
                <c:ptCount val="16"/>
                <c:pt idx="1">
                  <c:v>-0.10360877535675869</c:v>
                </c:pt>
                <c:pt idx="2">
                  <c:v>-0.8004276450947958</c:v>
                </c:pt>
                <c:pt idx="4">
                  <c:v>-0.79810147733803327</c:v>
                </c:pt>
                <c:pt idx="5">
                  <c:v>1.5898255349109507</c:v>
                </c:pt>
                <c:pt idx="6">
                  <c:v>-0.21041928783557454</c:v>
                </c:pt>
                <c:pt idx="7">
                  <c:v>2.1470530508988719</c:v>
                </c:pt>
                <c:pt idx="10">
                  <c:v>2.9875746029415726</c:v>
                </c:pt>
                <c:pt idx="11">
                  <c:v>0</c:v>
                </c:pt>
                <c:pt idx="14">
                  <c:v>0.32330639037513337</c:v>
                </c:pt>
                <c:pt idx="15">
                  <c:v>0.88910434077516842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EA-4584-BE05-F0C396BD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</c:scatterChart>
      <c:valAx>
        <c:axId val="717412880"/>
        <c:scaling>
          <c:orientation val="minMax"/>
          <c:max val="2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 radius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4"/>
      </c:valAx>
      <c:valAx>
        <c:axId val="521159320"/>
        <c:scaling>
          <c:orientation val="minMax"/>
          <c:max val="5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Using 6-coordination as in Onuma et al. 1979, magnified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etc.'!$U$6:$U$19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868B-4661-9EB5-B51E878DE05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'Lattice strain model etc.'!$U$6:$U$19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etc.'!$X$6:$X$19</c:f>
              <c:numCache>
                <c:formatCode>General</c:formatCode>
                <c:ptCount val="14"/>
                <c:pt idx="2">
                  <c:v>-0.90362927634053369</c:v>
                </c:pt>
                <c:pt idx="5">
                  <c:v>1.5896902598851765</c:v>
                </c:pt>
                <c:pt idx="6">
                  <c:v>-0.38832609694613751</c:v>
                </c:pt>
                <c:pt idx="7">
                  <c:v>0.89261022314521365</c:v>
                </c:pt>
                <c:pt idx="10">
                  <c:v>3.2648178230095359</c:v>
                </c:pt>
                <c:pt idx="12">
                  <c:v>-7.6304625261615655</c:v>
                </c:pt>
                <c:pt idx="13">
                  <c:v>-36.323183325703653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8B-4661-9EB5-B51E878DE055}"/>
            </c:ext>
          </c:extLst>
        </c:ser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'Lattice strain model etc.'!$AR$6:$AR$19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</c:numCache>
            </c:numRef>
          </c:xVal>
          <c:yVal>
            <c:numRef>
              <c:f>'Lattice strain model etc.'!$BB$6:$BB$19</c:f>
              <c:numCache>
                <c:formatCode>General</c:formatCode>
                <c:ptCount val="14"/>
                <c:pt idx="0">
                  <c:v>0.35778422505293161</c:v>
                </c:pt>
                <c:pt idx="1">
                  <c:v>-0.38190633766481685</c:v>
                </c:pt>
                <c:pt idx="2">
                  <c:v>-1.1651494629160619</c:v>
                </c:pt>
                <c:pt idx="3">
                  <c:v>4.9315545768930171</c:v>
                </c:pt>
                <c:pt idx="4">
                  <c:v>-1.1866245760679861</c:v>
                </c:pt>
                <c:pt idx="5">
                  <c:v>4.9430192884187072</c:v>
                </c:pt>
                <c:pt idx="6">
                  <c:v>3.5255171631044333</c:v>
                </c:pt>
                <c:pt idx="7">
                  <c:v>2.2035788080904428</c:v>
                </c:pt>
                <c:pt idx="8">
                  <c:v>2.6953259134115419</c:v>
                </c:pt>
                <c:pt idx="9">
                  <c:v>4.8171767128121621</c:v>
                </c:pt>
                <c:pt idx="10">
                  <c:v>2.9653071120823959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3-868B-4661-9EB5-B51E878DE055}"/>
            </c:ext>
          </c:extLst>
        </c:ser>
        <c:ser>
          <c:idx val="4"/>
          <c:order val="3"/>
          <c:spPr>
            <a:ln w="25400" cap="rnd">
              <a:noFill/>
              <a:round/>
            </a:ln>
            <a:effectLst/>
          </c:spPr>
          <c:marker>
            <c:symbol val="plus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'Lattice strain model etc.'!$U$6:$U$21</c:f>
              <c:numCache>
                <c:formatCode>General</c:formatCode>
                <c:ptCount val="16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  <c:pt idx="14">
                  <c:v>0.73</c:v>
                </c:pt>
                <c:pt idx="15">
                  <c:v>0.78</c:v>
                </c:pt>
              </c:numCache>
            </c:numRef>
          </c:xVal>
          <c:yVal>
            <c:numRef>
              <c:f>'Lattice strain model etc.'!$BN$6:$BN$21</c:f>
              <c:numCache>
                <c:formatCode>General</c:formatCode>
                <c:ptCount val="16"/>
                <c:pt idx="1">
                  <c:v>-0.10360877535675869</c:v>
                </c:pt>
                <c:pt idx="2">
                  <c:v>-0.8004276450947958</c:v>
                </c:pt>
                <c:pt idx="4">
                  <c:v>-0.79810147733803327</c:v>
                </c:pt>
                <c:pt idx="5">
                  <c:v>1.5898255349109507</c:v>
                </c:pt>
                <c:pt idx="6">
                  <c:v>-0.21041928783557454</c:v>
                </c:pt>
                <c:pt idx="7">
                  <c:v>2.1470530508988719</c:v>
                </c:pt>
                <c:pt idx="10">
                  <c:v>2.9875746029415726</c:v>
                </c:pt>
                <c:pt idx="11">
                  <c:v>0</c:v>
                </c:pt>
                <c:pt idx="14">
                  <c:v>0.32330639037513337</c:v>
                </c:pt>
                <c:pt idx="15">
                  <c:v>0.88910434077516842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8B-4661-9EB5-B51E878DE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  <c:extLst/>
      </c:scatterChart>
      <c:valAx>
        <c:axId val="717412880"/>
        <c:scaling>
          <c:orientation val="minMax"/>
          <c:max val="1.4"/>
          <c:min val="0.60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 radius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1"/>
      </c:valAx>
      <c:valAx>
        <c:axId val="521159320"/>
        <c:scaling>
          <c:orientation val="minMax"/>
          <c:max val="5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Mixed coordination,magnified,</a:t>
            </a:r>
            <a:r>
              <a:rPr lang="en-US" sz="1200" baseline="0"/>
              <a:t> D </a:t>
            </a:r>
            <a:r>
              <a:rPr lang="en-US" sz="1200" i="1" baseline="0"/>
              <a:t>Arctica </a:t>
            </a:r>
            <a:r>
              <a:rPr lang="en-US" sz="1200" baseline="0"/>
              <a:t>shell/seawater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B-4D9D-947B-F5865461849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etc.'!$Z$6:$Z$19</c:f>
              <c:numCache>
                <c:formatCode>General</c:formatCode>
                <c:ptCount val="14"/>
                <c:pt idx="2">
                  <c:v>-2.159637194992972</c:v>
                </c:pt>
                <c:pt idx="5">
                  <c:v>-4.3161182439437145</c:v>
                </c:pt>
                <c:pt idx="6">
                  <c:v>-1.826154454065545</c:v>
                </c:pt>
                <c:pt idx="7">
                  <c:v>1.8654280149619975</c:v>
                </c:pt>
                <c:pt idx="8">
                  <c:v>-4.2854371344804481</c:v>
                </c:pt>
                <c:pt idx="9">
                  <c:v>3.2570603834009262</c:v>
                </c:pt>
                <c:pt idx="10">
                  <c:v>3.2648178230095359</c:v>
                </c:pt>
                <c:pt idx="12">
                  <c:v>-18.70076465886174</c:v>
                </c:pt>
                <c:pt idx="13">
                  <c:v>-18.299818342012255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1B-4D9D-947B-F5865461849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'Lattice strain model etc.'!$Q$6:$Q$19</c:f>
              <c:numCache>
                <c:formatCode>General</c:formatCode>
                <c:ptCount val="14"/>
                <c:pt idx="1">
                  <c:v>1.24</c:v>
                </c:pt>
                <c:pt idx="4">
                  <c:v>1.55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1B-4D9D-947B-F5865461849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'Lattice strain model etc.'!$AQ$6:$AQ$19</c:f>
              <c:numCache>
                <c:formatCode>General</c:formatCode>
                <c:ptCount val="14"/>
                <c:pt idx="0">
                  <c:v>0.78</c:v>
                </c:pt>
                <c:pt idx="1">
                  <c:v>1.24</c:v>
                </c:pt>
                <c:pt idx="2">
                  <c:v>0.89</c:v>
                </c:pt>
                <c:pt idx="3">
                  <c:v>0.75829999999999997</c:v>
                </c:pt>
                <c:pt idx="4">
                  <c:v>1.55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etc.'!$BB$6:$BB$19</c:f>
              <c:numCache>
                <c:formatCode>General</c:formatCode>
                <c:ptCount val="14"/>
                <c:pt idx="0">
                  <c:v>0.35778422505293161</c:v>
                </c:pt>
                <c:pt idx="1">
                  <c:v>-0.38190633766481685</c:v>
                </c:pt>
                <c:pt idx="2">
                  <c:v>-1.1651494629160619</c:v>
                </c:pt>
                <c:pt idx="3">
                  <c:v>4.9315545768930171</c:v>
                </c:pt>
                <c:pt idx="4">
                  <c:v>-1.1866245760679861</c:v>
                </c:pt>
                <c:pt idx="5">
                  <c:v>4.9430192884187072</c:v>
                </c:pt>
                <c:pt idx="6">
                  <c:v>3.5255171631044333</c:v>
                </c:pt>
                <c:pt idx="7">
                  <c:v>2.2035788080904428</c:v>
                </c:pt>
                <c:pt idx="8">
                  <c:v>2.6953259134115419</c:v>
                </c:pt>
                <c:pt idx="9">
                  <c:v>4.8171767128121621</c:v>
                </c:pt>
                <c:pt idx="10">
                  <c:v>2.9653071120823959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1B-4D9D-947B-F5865461849D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'Lattice strain model etc.'!$S$6:$S$21</c:f>
              <c:numCache>
                <c:formatCode>General</c:formatCode>
                <c:ptCount val="16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  <c:pt idx="14">
                  <c:v>0.73</c:v>
                </c:pt>
                <c:pt idx="15">
                  <c:v>0.92</c:v>
                </c:pt>
              </c:numCache>
            </c:numRef>
          </c:xVal>
          <c:yVal>
            <c:numRef>
              <c:f>'Lattice strain model etc.'!$BN$6:$BN$21</c:f>
              <c:numCache>
                <c:formatCode>General</c:formatCode>
                <c:ptCount val="16"/>
                <c:pt idx="1">
                  <c:v>-0.10360877535675869</c:v>
                </c:pt>
                <c:pt idx="2">
                  <c:v>-0.8004276450947958</c:v>
                </c:pt>
                <c:pt idx="4">
                  <c:v>-0.79810147733803327</c:v>
                </c:pt>
                <c:pt idx="5">
                  <c:v>1.5898255349109507</c:v>
                </c:pt>
                <c:pt idx="6">
                  <c:v>-0.21041928783557454</c:v>
                </c:pt>
                <c:pt idx="7">
                  <c:v>2.1470530508988719</c:v>
                </c:pt>
                <c:pt idx="10">
                  <c:v>2.9875746029415726</c:v>
                </c:pt>
                <c:pt idx="11">
                  <c:v>0</c:v>
                </c:pt>
                <c:pt idx="14">
                  <c:v>0.32330639037513337</c:v>
                </c:pt>
                <c:pt idx="15">
                  <c:v>0.88910434077516842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1B-4D9D-947B-F58654618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</c:scatterChart>
      <c:valAx>
        <c:axId val="717412880"/>
        <c:scaling>
          <c:orientation val="minMax"/>
          <c:max val="1.6"/>
          <c:min val="0.60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 radius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1"/>
      </c:valAx>
      <c:valAx>
        <c:axId val="521159320"/>
        <c:scaling>
          <c:orientation val="minMax"/>
          <c:max val="5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Compute KD</a:t>
            </a:r>
            <a:r>
              <a:rPr lang="en-US" baseline="0"/>
              <a:t> values from D values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etc.'!$D$79:$D$85</c:f>
              <c:numCache>
                <c:formatCode>0.00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</c:numCache>
            </c:numRef>
          </c:xVal>
          <c:yVal>
            <c:numRef>
              <c:f>'Lattice strain model etc.'!$E$79:$E$85</c:f>
              <c:numCache>
                <c:formatCode>General</c:formatCode>
                <c:ptCount val="7"/>
                <c:pt idx="0">
                  <c:v>1.2331858001265439</c:v>
                </c:pt>
                <c:pt idx="1">
                  <c:v>1.1493308954256616</c:v>
                </c:pt>
                <c:pt idx="2">
                  <c:v>1.0760850994262936</c:v>
                </c:pt>
                <c:pt idx="3">
                  <c:v>1.0116864929565048</c:v>
                </c:pt>
                <c:pt idx="4">
                  <c:v>0.9547259469643834</c:v>
                </c:pt>
                <c:pt idx="5">
                  <c:v>0.9040657656083011</c:v>
                </c:pt>
                <c:pt idx="6">
                  <c:v>0.85877932638868026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37-4BFD-B8CA-230ED1850C8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'Lattice strain model etc.'!$D$79:$D$85</c:f>
              <c:numCache>
                <c:formatCode>0.00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</c:numCache>
            </c:numRef>
          </c:xVal>
          <c:yVal>
            <c:numRef>
              <c:f>'Lattice strain model etc.'!$H$79:$H$85</c:f>
              <c:numCache>
                <c:formatCode>General</c:formatCode>
                <c:ptCount val="7"/>
                <c:pt idx="0">
                  <c:v>4.4583567986249732E-2</c:v>
                </c:pt>
                <c:pt idx="1">
                  <c:v>4.9485928151466567E-2</c:v>
                </c:pt>
                <c:pt idx="2">
                  <c:v>5.4556693893408531E-2</c:v>
                </c:pt>
                <c:pt idx="3">
                  <c:v>5.9779334540774852E-2</c:v>
                </c:pt>
                <c:pt idx="4">
                  <c:v>6.5137981727528826E-2</c:v>
                </c:pt>
                <c:pt idx="5">
                  <c:v>7.0617508458538383E-2</c:v>
                </c:pt>
                <c:pt idx="6">
                  <c:v>7.6203579083832684E-2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7-4BFD-B8CA-230ED1850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779200"/>
        <c:axId val="685776576"/>
      </c:scatterChart>
      <c:valAx>
        <c:axId val="68577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6576"/>
        <c:crosses val="autoZero"/>
        <c:crossBetween val="midCat"/>
      </c:valAx>
      <c:valAx>
        <c:axId val="6857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</a:t>
            </a:r>
            <a:r>
              <a:rPr lang="en-US" baseline="0"/>
              <a:t>and predicted Sr/Ca (inorganic aragonite)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etc.'!$D$79:$D$85</c:f>
              <c:numCache>
                <c:formatCode>0.00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</c:numCache>
            </c:numRef>
          </c:xVal>
          <c:yVal>
            <c:numRef>
              <c:f>'Lattice strain model etc.'!$I$79:$I$85</c:f>
              <c:numCache>
                <c:formatCode>General</c:formatCode>
                <c:ptCount val="7"/>
                <c:pt idx="0">
                  <c:v>9.4291930481979893</c:v>
                </c:pt>
                <c:pt idx="1">
                  <c:v>9.2537605714253655</c:v>
                </c:pt>
                <c:pt idx="2">
                  <c:v>8.8420749811325301</c:v>
                </c:pt>
                <c:pt idx="3">
                  <c:v>8.4466263775994435</c:v>
                </c:pt>
                <c:pt idx="4">
                  <c:v>8.3813527848611606</c:v>
                </c:pt>
                <c:pt idx="5">
                  <c:v>8.1899629042953279</c:v>
                </c:pt>
                <c:pt idx="6">
                  <c:v>8.0846121176167429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4-45E8-8FDC-CDCF009A78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'Lattice strain model etc.'!$D$79:$D$85</c:f>
              <c:numCache>
                <c:formatCode>0.00</c:formatCode>
                <c:ptCount val="7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</c:numCache>
            </c:numRef>
          </c:xVal>
          <c:yVal>
            <c:numRef>
              <c:f>'Lattice strain model etc.'!$J$79:$J$85</c:f>
              <c:numCache>
                <c:formatCode>General</c:formatCode>
                <c:ptCount val="7"/>
                <c:pt idx="0">
                  <c:v>0.34089515892631117</c:v>
                </c:pt>
                <c:pt idx="1">
                  <c:v>0.39843262944639835</c:v>
                </c:pt>
                <c:pt idx="2">
                  <c:v>0.44828645837155284</c:v>
                </c:pt>
                <c:pt idx="3">
                  <c:v>0.49910096406630478</c:v>
                </c:pt>
                <c:pt idx="4">
                  <c:v>0.57183363067498771</c:v>
                </c:pt>
                <c:pt idx="5">
                  <c:v>0.6397264410073582</c:v>
                </c:pt>
                <c:pt idx="6">
                  <c:v>0.71738613161268117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E4-45E8-8FDC-CDCF009A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779200"/>
        <c:axId val="685776576"/>
      </c:scatterChart>
      <c:valAx>
        <c:axId val="68577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6576"/>
        <c:crosses val="autoZero"/>
        <c:crossBetween val="midCat"/>
      </c:valAx>
      <c:valAx>
        <c:axId val="6857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Mixed coordination,magnif., D </a:t>
            </a:r>
            <a:r>
              <a:rPr lang="en-US" sz="1200" i="1"/>
              <a:t>Arctica</a:t>
            </a:r>
            <a:r>
              <a:rPr lang="en-US" sz="1200"/>
              <a:t> shell/</a:t>
            </a:r>
            <a:r>
              <a:rPr lang="en-US" sz="1200" i="1"/>
              <a:t>Pinctada</a:t>
            </a:r>
            <a:r>
              <a:rPr lang="en-US" sz="1200"/>
              <a:t> EPF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F0-4C74-B972-D0B849134AD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'Lattice strain model etc.'!$S$6:$S$19</c:f>
              <c:numCache>
                <c:formatCode>General</c:formatCode>
                <c:ptCount val="14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etc.'!$Z$6:$Z$19</c:f>
              <c:numCache>
                <c:formatCode>General</c:formatCode>
                <c:ptCount val="14"/>
                <c:pt idx="2">
                  <c:v>-2.159637194992972</c:v>
                </c:pt>
                <c:pt idx="5">
                  <c:v>-4.3161182439437145</c:v>
                </c:pt>
                <c:pt idx="6">
                  <c:v>-1.826154454065545</c:v>
                </c:pt>
                <c:pt idx="7">
                  <c:v>1.8654280149619975</c:v>
                </c:pt>
                <c:pt idx="8">
                  <c:v>-4.2854371344804481</c:v>
                </c:pt>
                <c:pt idx="9">
                  <c:v>3.2570603834009262</c:v>
                </c:pt>
                <c:pt idx="10">
                  <c:v>3.2648178230095359</c:v>
                </c:pt>
                <c:pt idx="12">
                  <c:v>-18.70076465886174</c:v>
                </c:pt>
                <c:pt idx="13">
                  <c:v>-18.299818342012255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F0-4C74-B972-D0B849134AD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'Lattice strain model etc.'!$Q$6:$Q$19</c:f>
              <c:numCache>
                <c:formatCode>General</c:formatCode>
                <c:ptCount val="14"/>
                <c:pt idx="1">
                  <c:v>1.24</c:v>
                </c:pt>
                <c:pt idx="4">
                  <c:v>1.55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F0-4C74-B972-D0B849134AD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'Lattice strain model etc.'!$AQ$6:$AQ$19</c:f>
              <c:numCache>
                <c:formatCode>General</c:formatCode>
                <c:ptCount val="14"/>
                <c:pt idx="0">
                  <c:v>0.78</c:v>
                </c:pt>
                <c:pt idx="1">
                  <c:v>1.24</c:v>
                </c:pt>
                <c:pt idx="2">
                  <c:v>0.89</c:v>
                </c:pt>
                <c:pt idx="3">
                  <c:v>0.75829999999999997</c:v>
                </c:pt>
                <c:pt idx="4">
                  <c:v>1.55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1">
                  <c:v>0.92</c:v>
                </c:pt>
              </c:numCache>
            </c:numRef>
          </c:xVal>
          <c:yVal>
            <c:numRef>
              <c:f>'Lattice strain model etc.'!$BD$6:$BD$19</c:f>
              <c:numCache>
                <c:formatCode>General</c:formatCode>
                <c:ptCount val="14"/>
                <c:pt idx="1">
                  <c:v>-0.3404249631193319</c:v>
                </c:pt>
                <c:pt idx="2">
                  <c:v>-1.136824468340579</c:v>
                </c:pt>
                <c:pt idx="4">
                  <c:v>-1.2760626097179919</c:v>
                </c:pt>
                <c:pt idx="5">
                  <c:v>0.98392247693336243</c:v>
                </c:pt>
                <c:pt idx="6">
                  <c:v>-1.0235541738363041</c:v>
                </c:pt>
                <c:pt idx="7">
                  <c:v>2.2694972608766859</c:v>
                </c:pt>
                <c:pt idx="10">
                  <c:v>2.9887189895903106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F0-4C74-B972-D0B849134AD3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'Lattice strain model etc.'!$S$6:$S$21</c:f>
              <c:numCache>
                <c:formatCode>General</c:formatCode>
                <c:ptCount val="16"/>
                <c:pt idx="2">
                  <c:v>0.89</c:v>
                </c:pt>
                <c:pt idx="5">
                  <c:v>0.83</c:v>
                </c:pt>
                <c:pt idx="6">
                  <c:v>0.9</c:v>
                </c:pt>
                <c:pt idx="7">
                  <c:v>1.31</c:v>
                </c:pt>
                <c:pt idx="8">
                  <c:v>1.47</c:v>
                </c:pt>
                <c:pt idx="9">
                  <c:v>1.19</c:v>
                </c:pt>
                <c:pt idx="10">
                  <c:v>1.18</c:v>
                </c:pt>
                <c:pt idx="12">
                  <c:v>0.5</c:v>
                </c:pt>
                <c:pt idx="13">
                  <c:v>1.65</c:v>
                </c:pt>
                <c:pt idx="14">
                  <c:v>0.73</c:v>
                </c:pt>
                <c:pt idx="15">
                  <c:v>0.92</c:v>
                </c:pt>
              </c:numCache>
            </c:numRef>
          </c:xVal>
          <c:yVal>
            <c:numRef>
              <c:f>'Lattice strain model etc.'!$BN$6:$BN$21</c:f>
              <c:numCache>
                <c:formatCode>General</c:formatCode>
                <c:ptCount val="16"/>
                <c:pt idx="1">
                  <c:v>-0.10360877535675869</c:v>
                </c:pt>
                <c:pt idx="2">
                  <c:v>-0.8004276450947958</c:v>
                </c:pt>
                <c:pt idx="4">
                  <c:v>-0.79810147733803327</c:v>
                </c:pt>
                <c:pt idx="5">
                  <c:v>1.5898255349109507</c:v>
                </c:pt>
                <c:pt idx="6">
                  <c:v>-0.21041928783557454</c:v>
                </c:pt>
                <c:pt idx="7">
                  <c:v>2.1470530508988719</c:v>
                </c:pt>
                <c:pt idx="10">
                  <c:v>2.9875746029415726</c:v>
                </c:pt>
                <c:pt idx="11">
                  <c:v>0</c:v>
                </c:pt>
                <c:pt idx="14">
                  <c:v>0.32330639037513337</c:v>
                </c:pt>
                <c:pt idx="15">
                  <c:v>0.88910434077516842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F0-4C74-B972-D0B849134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</c:scatterChart>
      <c:valAx>
        <c:axId val="717412880"/>
        <c:scaling>
          <c:orientation val="minMax"/>
          <c:max val="1.6"/>
          <c:min val="0.60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 radius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1"/>
      </c:valAx>
      <c:valAx>
        <c:axId val="521159320"/>
        <c:scaling>
          <c:orientation val="minMax"/>
          <c:max val="5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 &amp; Erez 2021</a:t>
            </a:r>
            <a:r>
              <a:rPr lang="en-US" baseline="0"/>
              <a:t> log log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4940475186254002"/>
                  <c:y val="2.91943629497059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Metadata!$BG$50:$BG$82</c:f>
              <c:numCache>
                <c:formatCode>0.0000</c:formatCode>
                <c:ptCount val="33"/>
                <c:pt idx="0" formatCode="0.000">
                  <c:v>0.03</c:v>
                </c:pt>
                <c:pt idx="1">
                  <c:v>2.9999999999999997E-4</c:v>
                </c:pt>
                <c:pt idx="2" formatCode="0.000">
                  <c:v>7.0999999999999994E-2</c:v>
                </c:pt>
                <c:pt idx="3" formatCode="0.00000">
                  <c:v>4.0000000000000002E-4</c:v>
                </c:pt>
                <c:pt idx="6" formatCode="0.00000">
                  <c:v>1.227E-3</c:v>
                </c:pt>
                <c:pt idx="7" formatCode="0.00000">
                  <c:v>2.367479090582528E-3</c:v>
                </c:pt>
                <c:pt idx="8" formatCode="0.00000">
                  <c:v>1.8935009055317238E-3</c:v>
                </c:pt>
                <c:pt idx="10" formatCode="0.00000">
                  <c:v>1.49E-2</c:v>
                </c:pt>
                <c:pt idx="11" formatCode="0.00000">
                  <c:v>1.6999999999999999E-3</c:v>
                </c:pt>
                <c:pt idx="14" formatCode="0.00000">
                  <c:v>5.0000000000000002E-5</c:v>
                </c:pt>
                <c:pt idx="16" formatCode="0.00">
                  <c:v>3.2</c:v>
                </c:pt>
                <c:pt idx="18" formatCode="General">
                  <c:v>1.17</c:v>
                </c:pt>
                <c:pt idx="19" formatCode="General">
                  <c:v>1.27</c:v>
                </c:pt>
                <c:pt idx="20" formatCode="0.00">
                  <c:v>1.3972798154596744</c:v>
                </c:pt>
                <c:pt idx="21" formatCode="0.00">
                  <c:v>1.3021057735889856</c:v>
                </c:pt>
                <c:pt idx="23" formatCode="0.00">
                  <c:v>0.41699999999999998</c:v>
                </c:pt>
                <c:pt idx="24" formatCode="0.00">
                  <c:v>1.24</c:v>
                </c:pt>
                <c:pt idx="26" formatCode="General">
                  <c:v>0.44</c:v>
                </c:pt>
                <c:pt idx="27" formatCode="General">
                  <c:v>2.0699999999999998</c:v>
                </c:pt>
                <c:pt idx="28" formatCode="0.00">
                  <c:v>6.3990064036474639</c:v>
                </c:pt>
                <c:pt idx="29" formatCode="0.00">
                  <c:v>4.5354940281377933</c:v>
                </c:pt>
                <c:pt idx="31" formatCode="0.00">
                  <c:v>1.81</c:v>
                </c:pt>
                <c:pt idx="32" formatCode="0.00">
                  <c:v>2.99</c:v>
                </c:pt>
              </c:numCache>
            </c:numRef>
          </c:xVal>
          <c:yVal>
            <c:numRef>
              <c:f>Metadata!$BI$50:$BI$82</c:f>
              <c:numCache>
                <c:formatCode>0.0000</c:formatCode>
                <c:ptCount val="33"/>
                <c:pt idx="0">
                  <c:v>2.5000000000000001E-3</c:v>
                </c:pt>
                <c:pt idx="1">
                  <c:v>2.5000000000000001E-3</c:v>
                </c:pt>
                <c:pt idx="2">
                  <c:v>2.5000000000000001E-3</c:v>
                </c:pt>
                <c:pt idx="3">
                  <c:v>4.4955884861407248E-4</c:v>
                </c:pt>
                <c:pt idx="6" formatCode="0.00000">
                  <c:v>7.4053130929791264E-5</c:v>
                </c:pt>
                <c:pt idx="7" formatCode="0.00000">
                  <c:v>7.4053130929791264E-5</c:v>
                </c:pt>
                <c:pt idx="8" formatCode="0.00000">
                  <c:v>7.4053130929791264E-5</c:v>
                </c:pt>
                <c:pt idx="10" formatCode="0.00000">
                  <c:v>7.4053130929791264E-5</c:v>
                </c:pt>
                <c:pt idx="11" formatCode="0.00000">
                  <c:v>7.4053130929791264E-5</c:v>
                </c:pt>
                <c:pt idx="14" formatCode="0.00000">
                  <c:v>7.0480392156862745E-5</c:v>
                </c:pt>
                <c:pt idx="16" formatCode="0.00">
                  <c:v>3.6325370370370367</c:v>
                </c:pt>
                <c:pt idx="18" formatCode="0.00">
                  <c:v>0.17308988764044944</c:v>
                </c:pt>
                <c:pt idx="19" formatCode="0.00">
                  <c:v>0.17308988764044944</c:v>
                </c:pt>
                <c:pt idx="20" formatCode="0.00">
                  <c:v>0.17308988764044944</c:v>
                </c:pt>
                <c:pt idx="21" formatCode="0.00">
                  <c:v>0.17308988764044944</c:v>
                </c:pt>
                <c:pt idx="23" formatCode="0.00">
                  <c:v>0.17308988764044944</c:v>
                </c:pt>
                <c:pt idx="24" formatCode="0.00">
                  <c:v>0.17308988764044944</c:v>
                </c:pt>
                <c:pt idx="26" formatCode="0.00">
                  <c:v>0.53705504587155961</c:v>
                </c:pt>
                <c:pt idx="27" formatCode="0.00">
                  <c:v>0.53705504587155961</c:v>
                </c:pt>
                <c:pt idx="28" formatCode="0.00">
                  <c:v>0.53705504587155961</c:v>
                </c:pt>
                <c:pt idx="29" formatCode="0.00">
                  <c:v>0.53705504587155961</c:v>
                </c:pt>
                <c:pt idx="31" formatCode="0.00">
                  <c:v>0.53705504587155961</c:v>
                </c:pt>
                <c:pt idx="32" formatCode="0.00">
                  <c:v>0.53705504587155961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1-4B51-8816-B1D0C52B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43640"/>
        <c:axId val="693243968"/>
      </c:scatterChart>
      <c:valAx>
        <c:axId val="693243640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KD</a:t>
                </a:r>
                <a:r>
                  <a:rPr lang="en-US" baseline="0"/>
                  <a:t> values inorganic aragonite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968"/>
        <c:crossesAt val="1.0000000000000005E-7"/>
        <c:crossBetween val="midCat"/>
      </c:valAx>
      <c:valAx>
        <c:axId val="6932439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KD values </a:t>
                </a:r>
                <a:r>
                  <a:rPr lang="en-US" i="1"/>
                  <a:t>Arctica</a:t>
                </a:r>
                <a:r>
                  <a:rPr lang="en-US" i="1" baseline="0"/>
                  <a:t> islandica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640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Metadata!$BG$50:$BG$52</c:f>
              <c:numCache>
                <c:formatCode>0.0000</c:formatCode>
                <c:ptCount val="3"/>
                <c:pt idx="0" formatCode="0.000">
                  <c:v>0.03</c:v>
                </c:pt>
                <c:pt idx="1">
                  <c:v>2.9999999999999997E-4</c:v>
                </c:pt>
                <c:pt idx="2" formatCode="0.000">
                  <c:v>7.0999999999999994E-2</c:v>
                </c:pt>
              </c:numCache>
            </c:numRef>
          </c:xVal>
          <c:yVal>
            <c:numRef>
              <c:f>Metadata!$BI$50:$BI$52</c:f>
              <c:numCache>
                <c:formatCode>0.0000</c:formatCode>
                <c:ptCount val="3"/>
                <c:pt idx="0">
                  <c:v>2.5000000000000001E-3</c:v>
                </c:pt>
                <c:pt idx="1">
                  <c:v>2.5000000000000001E-3</c:v>
                </c:pt>
                <c:pt idx="2">
                  <c:v>2.5000000000000001E-3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D2-4CB2-BBF8-6AD35875B52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Metadata!$BG$53</c:f>
              <c:numCache>
                <c:formatCode>0.00000</c:formatCode>
                <c:ptCount val="1"/>
                <c:pt idx="0">
                  <c:v>4.0000000000000002E-4</c:v>
                </c:pt>
              </c:numCache>
            </c:numRef>
          </c:xVal>
          <c:yVal>
            <c:numRef>
              <c:f>Metadata!$BN$53</c:f>
              <c:numCache>
                <c:formatCode>0.0000</c:formatCode>
                <c:ptCount val="1"/>
                <c:pt idx="0">
                  <c:v>4.4955884861407248E-4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D2-4CB2-BBF8-6AD35875B52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Metadata!$BG$56:$BG$61</c:f>
              <c:numCache>
                <c:formatCode>0.00000</c:formatCode>
                <c:ptCount val="6"/>
                <c:pt idx="0">
                  <c:v>1.227E-3</c:v>
                </c:pt>
                <c:pt idx="1">
                  <c:v>2.367479090582528E-3</c:v>
                </c:pt>
                <c:pt idx="2">
                  <c:v>1.8935009055317238E-3</c:v>
                </c:pt>
                <c:pt idx="4">
                  <c:v>1.49E-2</c:v>
                </c:pt>
                <c:pt idx="5">
                  <c:v>1.6999999999999999E-3</c:v>
                </c:pt>
              </c:numCache>
            </c:numRef>
          </c:xVal>
          <c:yVal>
            <c:numRef>
              <c:f>Metadata!$BO$56:$BO$61</c:f>
              <c:numCache>
                <c:formatCode>0.00000</c:formatCode>
                <c:ptCount val="6"/>
                <c:pt idx="0">
                  <c:v>7.4053130929791264E-5</c:v>
                </c:pt>
                <c:pt idx="1">
                  <c:v>7.4053130929791264E-5</c:v>
                </c:pt>
                <c:pt idx="2">
                  <c:v>7.4053130929791264E-5</c:v>
                </c:pt>
                <c:pt idx="4">
                  <c:v>7.4053130929791264E-5</c:v>
                </c:pt>
                <c:pt idx="5">
                  <c:v>7.4053130929791264E-5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D2-4CB2-BBF8-6AD35875B52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Metadata!$BG$64</c:f>
              <c:numCache>
                <c:formatCode>0.00000</c:formatCode>
                <c:ptCount val="1"/>
                <c:pt idx="0">
                  <c:v>5.0000000000000002E-5</c:v>
                </c:pt>
              </c:numCache>
            </c:numRef>
          </c:xVal>
          <c:yVal>
            <c:numRef>
              <c:f>Metadata!$BP$64</c:f>
              <c:numCache>
                <c:formatCode>0.00000</c:formatCode>
                <c:ptCount val="1"/>
                <c:pt idx="0">
                  <c:v>7.0480392156862745E-5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D2-4CB2-BBF8-6AD35875B526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Metadata!$BG$66</c:f>
              <c:numCache>
                <c:formatCode>0.00</c:formatCode>
                <c:ptCount val="1"/>
                <c:pt idx="0">
                  <c:v>3.2</c:v>
                </c:pt>
              </c:numCache>
            </c:numRef>
          </c:xVal>
          <c:yVal>
            <c:numRef>
              <c:f>Metadata!$BQ$66</c:f>
              <c:numCache>
                <c:formatCode>0.00</c:formatCode>
                <c:ptCount val="1"/>
                <c:pt idx="0">
                  <c:v>3.6325370370370367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D2-4CB2-BBF8-6AD35875B526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Metadata!$BG$68:$BG$74</c:f>
              <c:numCache>
                <c:formatCode>General</c:formatCode>
                <c:ptCount val="7"/>
                <c:pt idx="0">
                  <c:v>1.17</c:v>
                </c:pt>
                <c:pt idx="1">
                  <c:v>1.27</c:v>
                </c:pt>
                <c:pt idx="2" formatCode="0.00">
                  <c:v>1.3972798154596744</c:v>
                </c:pt>
                <c:pt idx="3" formatCode="0.00">
                  <c:v>1.3021057735889856</c:v>
                </c:pt>
                <c:pt idx="5" formatCode="0.00">
                  <c:v>0.41699999999999998</c:v>
                </c:pt>
                <c:pt idx="6" formatCode="0.00">
                  <c:v>1.24</c:v>
                </c:pt>
              </c:numCache>
            </c:numRef>
          </c:xVal>
          <c:yVal>
            <c:numRef>
              <c:f>Metadata!$BR$68:$BR$74</c:f>
              <c:numCache>
                <c:formatCode>0.00</c:formatCode>
                <c:ptCount val="7"/>
                <c:pt idx="0">
                  <c:v>0.17308988764044944</c:v>
                </c:pt>
                <c:pt idx="1">
                  <c:v>0.17308988764044944</c:v>
                </c:pt>
                <c:pt idx="2">
                  <c:v>0.17308988764044944</c:v>
                </c:pt>
                <c:pt idx="3">
                  <c:v>0.17308988764044944</c:v>
                </c:pt>
                <c:pt idx="5">
                  <c:v>0.17308988764044944</c:v>
                </c:pt>
                <c:pt idx="6">
                  <c:v>0.17308988764044944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D2-4CB2-BBF8-6AD35875B526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xVal>
            <c:numRef>
              <c:f>Metadata!$BG$76:$BG$82</c:f>
              <c:numCache>
                <c:formatCode>General</c:formatCode>
                <c:ptCount val="7"/>
                <c:pt idx="0">
                  <c:v>0.44</c:v>
                </c:pt>
                <c:pt idx="1">
                  <c:v>2.0699999999999998</c:v>
                </c:pt>
                <c:pt idx="2" formatCode="0.00">
                  <c:v>6.3990064036474639</c:v>
                </c:pt>
                <c:pt idx="3" formatCode="0.00">
                  <c:v>4.5354940281377933</c:v>
                </c:pt>
                <c:pt idx="5" formatCode="0.00">
                  <c:v>1.81</c:v>
                </c:pt>
                <c:pt idx="6" formatCode="0.00">
                  <c:v>2.99</c:v>
                </c:pt>
              </c:numCache>
            </c:numRef>
          </c:xVal>
          <c:yVal>
            <c:numRef>
              <c:f>Metadata!$BS$76:$BS$82</c:f>
              <c:numCache>
                <c:formatCode>0.00</c:formatCode>
                <c:ptCount val="7"/>
                <c:pt idx="0">
                  <c:v>0.53705504587155961</c:v>
                </c:pt>
                <c:pt idx="1">
                  <c:v>0.53705504587155961</c:v>
                </c:pt>
                <c:pt idx="2">
                  <c:v>0.53705504587155961</c:v>
                </c:pt>
                <c:pt idx="3">
                  <c:v>0.53705504587155961</c:v>
                </c:pt>
                <c:pt idx="5">
                  <c:v>0.53705504587155961</c:v>
                </c:pt>
                <c:pt idx="6">
                  <c:v>0.53705504587155961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ED2-4CB2-BBF8-6AD35875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43640"/>
        <c:axId val="693243968"/>
      </c:scatterChart>
      <c:valAx>
        <c:axId val="693243640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  <a:r>
                  <a:rPr lang="en-US" baseline="-25000"/>
                  <a:t>D</a:t>
                </a:r>
                <a:r>
                  <a:rPr lang="en-US" baseline="0"/>
                  <a:t> values inorganic aragonite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968"/>
        <c:crossesAt val="1.0000000000000005E-7"/>
        <c:crossBetween val="midCat"/>
      </c:valAx>
      <c:valAx>
        <c:axId val="6932439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  <a:r>
                  <a:rPr lang="en-US" baseline="-25000"/>
                  <a:t>D</a:t>
                </a:r>
                <a:r>
                  <a:rPr lang="en-US"/>
                  <a:t> values </a:t>
                </a:r>
                <a:r>
                  <a:rPr lang="en-US" i="1"/>
                  <a:t>Arctica</a:t>
                </a:r>
                <a:r>
                  <a:rPr lang="en-US" i="1" baseline="0"/>
                  <a:t> islandica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640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 &amp; Erez 2021</a:t>
            </a:r>
            <a:r>
              <a:rPr lang="en-US" baseline="0"/>
              <a:t> log log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4940475186254002"/>
                  <c:y val="2.91943629497059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8366099191843"/>
                  <c:y val="2.981194791938122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Metadata!$BG$104:$BG$136</c:f>
              <c:numCache>
                <c:formatCode>0.00</c:formatCode>
                <c:ptCount val="33"/>
                <c:pt idx="0">
                  <c:v>-1.5228787452803376</c:v>
                </c:pt>
                <c:pt idx="1">
                  <c:v>-3.5228787452803374</c:v>
                </c:pt>
                <c:pt idx="2">
                  <c:v>-1.1487416512809248</c:v>
                </c:pt>
                <c:pt idx="3">
                  <c:v>-3.3979400086720375</c:v>
                </c:pt>
                <c:pt idx="6">
                  <c:v>-2.911155437272996</c:v>
                </c:pt>
                <c:pt idx="7">
                  <c:v>-2.6257138479676576</c:v>
                </c:pt>
                <c:pt idx="8">
                  <c:v>-2.7227344828498161</c:v>
                </c:pt>
                <c:pt idx="10">
                  <c:v>-1.826813731587726</c:v>
                </c:pt>
                <c:pt idx="11">
                  <c:v>-2.7695510786217259</c:v>
                </c:pt>
                <c:pt idx="14">
                  <c:v>-4.3010299956639813</c:v>
                </c:pt>
                <c:pt idx="16">
                  <c:v>0.50514997831990605</c:v>
                </c:pt>
                <c:pt idx="18">
                  <c:v>6.8185861746161619E-2</c:v>
                </c:pt>
                <c:pt idx="19">
                  <c:v>0.10380372095595687</c:v>
                </c:pt>
                <c:pt idx="20">
                  <c:v>0.14528338545663835</c:v>
                </c:pt>
                <c:pt idx="21">
                  <c:v>0.11464626458562016</c:v>
                </c:pt>
                <c:pt idx="23">
                  <c:v>-0.37986394502624249</c:v>
                </c:pt>
                <c:pt idx="24">
                  <c:v>9.3421685162235063E-2</c:v>
                </c:pt>
                <c:pt idx="26">
                  <c:v>-0.35654732351381258</c:v>
                </c:pt>
                <c:pt idx="27">
                  <c:v>0.31597034545691771</c:v>
                </c:pt>
                <c:pt idx="28">
                  <c:v>0.80611254477877492</c:v>
                </c:pt>
                <c:pt idx="29">
                  <c:v>0.65662459944652352</c:v>
                </c:pt>
                <c:pt idx="31">
                  <c:v>0.2576785748691845</c:v>
                </c:pt>
                <c:pt idx="32">
                  <c:v>0.47567118832442967</c:v>
                </c:pt>
              </c:numCache>
            </c:numRef>
          </c:xVal>
          <c:yVal>
            <c:numRef>
              <c:f>Metadata!$BI$104:$BI$136</c:f>
              <c:numCache>
                <c:formatCode>0.00</c:formatCode>
                <c:ptCount val="33"/>
                <c:pt idx="0">
                  <c:v>-2.6020599913279625</c:v>
                </c:pt>
                <c:pt idx="1">
                  <c:v>-2.6020599913279625</c:v>
                </c:pt>
                <c:pt idx="2">
                  <c:v>-2.6020599913279625</c:v>
                </c:pt>
                <c:pt idx="3">
                  <c:v>-3.3472134497472132</c:v>
                </c:pt>
                <c:pt idx="6">
                  <c:v>-4.1304565749984583</c:v>
                </c:pt>
                <c:pt idx="7">
                  <c:v>-4.1304565749984583</c:v>
                </c:pt>
                <c:pt idx="8">
                  <c:v>-4.1304565749984583</c:v>
                </c:pt>
                <c:pt idx="10">
                  <c:v>-4.1304565749984583</c:v>
                </c:pt>
                <c:pt idx="11">
                  <c:v>-4.1304565749984583</c:v>
                </c:pt>
                <c:pt idx="14">
                  <c:v>-4.1519316881503823</c:v>
                </c:pt>
                <c:pt idx="16">
                  <c:v>0.56021005102203714</c:v>
                </c:pt>
                <c:pt idx="18">
                  <c:v>-0.76172830399195335</c:v>
                </c:pt>
                <c:pt idx="19">
                  <c:v>-0.76172830399195335</c:v>
                </c:pt>
                <c:pt idx="20">
                  <c:v>-0.76172830399195335</c:v>
                </c:pt>
                <c:pt idx="21">
                  <c:v>-0.76172830399195335</c:v>
                </c:pt>
                <c:pt idx="23">
                  <c:v>-0.76172830399195335</c:v>
                </c:pt>
                <c:pt idx="24">
                  <c:v>-0.76172830399195335</c:v>
                </c:pt>
                <c:pt idx="26">
                  <c:v>-0.26998119867085407</c:v>
                </c:pt>
                <c:pt idx="27">
                  <c:v>-0.26998119867085407</c:v>
                </c:pt>
                <c:pt idx="28">
                  <c:v>-0.26998119867085407</c:v>
                </c:pt>
                <c:pt idx="29">
                  <c:v>-0.26998119867085407</c:v>
                </c:pt>
                <c:pt idx="31">
                  <c:v>-0.26998119867085407</c:v>
                </c:pt>
                <c:pt idx="32">
                  <c:v>-0.26998119867085407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AB-44E8-95BF-375482E7C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43640"/>
        <c:axId val="693243968"/>
      </c:scatterChart>
      <c:valAx>
        <c:axId val="69324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KD</a:t>
                </a:r>
                <a:r>
                  <a:rPr lang="en-US" baseline="0"/>
                  <a:t> values inorganic aragonite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968"/>
        <c:crossesAt val="-5"/>
        <c:crossBetween val="midCat"/>
      </c:valAx>
      <c:valAx>
        <c:axId val="69324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KD values </a:t>
                </a:r>
                <a:r>
                  <a:rPr lang="en-US" i="1"/>
                  <a:t>Arctica</a:t>
                </a:r>
                <a:r>
                  <a:rPr lang="en-US" i="1" baseline="0"/>
                  <a:t> islandica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640"/>
        <c:crossesAt val="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8E0-4DC1-BF4F-C63C29B4585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A1B-40E2-96B4-642391117C6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A1B-40E2-96B4-642391117C6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8E0-4DC1-BF4F-C63C29B4585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A1B-40E2-96B4-642391117C6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8E0-4DC1-BF4F-C63C29B4585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8E0-4DC1-BF4F-C63C29B4585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8E0-4DC1-BF4F-C63C29B4585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A1B-40E2-96B4-642391117C60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A1B-40E2-96B4-642391117C60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8E0-4DC1-BF4F-C63C29B4585A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8E0-4DC1-BF4F-C63C29B4585A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A1B-40E2-96B4-642391117C60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A1B-40E2-96B4-642391117C60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A1B-40E2-96B4-642391117C60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8E0-4DC1-BF4F-C63C29B4585A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A1B-40E2-96B4-642391117C60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8E0-4DC1-BF4F-C63C29B4585A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4940475186254002"/>
                  <c:y val="2.91943629497059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8366099191843"/>
                  <c:y val="2.981194791938122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Metadata!$BG$104:$BG$136</c:f>
              <c:numCache>
                <c:formatCode>0.00</c:formatCode>
                <c:ptCount val="33"/>
                <c:pt idx="0">
                  <c:v>-1.5228787452803376</c:v>
                </c:pt>
                <c:pt idx="1">
                  <c:v>-3.5228787452803374</c:v>
                </c:pt>
                <c:pt idx="2">
                  <c:v>-1.1487416512809248</c:v>
                </c:pt>
                <c:pt idx="3">
                  <c:v>-3.3979400086720375</c:v>
                </c:pt>
                <c:pt idx="6">
                  <c:v>-2.911155437272996</c:v>
                </c:pt>
                <c:pt idx="7">
                  <c:v>-2.6257138479676576</c:v>
                </c:pt>
                <c:pt idx="8">
                  <c:v>-2.7227344828498161</c:v>
                </c:pt>
                <c:pt idx="10">
                  <c:v>-1.826813731587726</c:v>
                </c:pt>
                <c:pt idx="11">
                  <c:v>-2.7695510786217259</c:v>
                </c:pt>
                <c:pt idx="14">
                  <c:v>-4.3010299956639813</c:v>
                </c:pt>
                <c:pt idx="16">
                  <c:v>0.50514997831990605</c:v>
                </c:pt>
                <c:pt idx="18">
                  <c:v>6.8185861746161619E-2</c:v>
                </c:pt>
                <c:pt idx="19">
                  <c:v>0.10380372095595687</c:v>
                </c:pt>
                <c:pt idx="20">
                  <c:v>0.14528338545663835</c:v>
                </c:pt>
                <c:pt idx="21">
                  <c:v>0.11464626458562016</c:v>
                </c:pt>
                <c:pt idx="23">
                  <c:v>-0.37986394502624249</c:v>
                </c:pt>
                <c:pt idx="24">
                  <c:v>9.3421685162235063E-2</c:v>
                </c:pt>
                <c:pt idx="26">
                  <c:v>-0.35654732351381258</c:v>
                </c:pt>
                <c:pt idx="27">
                  <c:v>0.31597034545691771</c:v>
                </c:pt>
                <c:pt idx="28">
                  <c:v>0.80611254477877492</c:v>
                </c:pt>
                <c:pt idx="29">
                  <c:v>0.65662459944652352</c:v>
                </c:pt>
                <c:pt idx="31">
                  <c:v>0.2576785748691845</c:v>
                </c:pt>
                <c:pt idx="32">
                  <c:v>0.47567118832442967</c:v>
                </c:pt>
              </c:numCache>
            </c:numRef>
          </c:xVal>
          <c:yVal>
            <c:numRef>
              <c:f>Metadata!$BI$104:$BI$136</c:f>
              <c:numCache>
                <c:formatCode>0.00</c:formatCode>
                <c:ptCount val="33"/>
                <c:pt idx="0">
                  <c:v>-2.6020599913279625</c:v>
                </c:pt>
                <c:pt idx="1">
                  <c:v>-2.6020599913279625</c:v>
                </c:pt>
                <c:pt idx="2">
                  <c:v>-2.6020599913279625</c:v>
                </c:pt>
                <c:pt idx="3">
                  <c:v>-3.3472134497472132</c:v>
                </c:pt>
                <c:pt idx="6">
                  <c:v>-4.1304565749984583</c:v>
                </c:pt>
                <c:pt idx="7">
                  <c:v>-4.1304565749984583</c:v>
                </c:pt>
                <c:pt idx="8">
                  <c:v>-4.1304565749984583</c:v>
                </c:pt>
                <c:pt idx="10">
                  <c:v>-4.1304565749984583</c:v>
                </c:pt>
                <c:pt idx="11">
                  <c:v>-4.1304565749984583</c:v>
                </c:pt>
                <c:pt idx="14">
                  <c:v>-4.1519316881503823</c:v>
                </c:pt>
                <c:pt idx="16">
                  <c:v>0.56021005102203714</c:v>
                </c:pt>
                <c:pt idx="18">
                  <c:v>-0.76172830399195335</c:v>
                </c:pt>
                <c:pt idx="19">
                  <c:v>-0.76172830399195335</c:v>
                </c:pt>
                <c:pt idx="20">
                  <c:v>-0.76172830399195335</c:v>
                </c:pt>
                <c:pt idx="21">
                  <c:v>-0.76172830399195335</c:v>
                </c:pt>
                <c:pt idx="23">
                  <c:v>-0.76172830399195335</c:v>
                </c:pt>
                <c:pt idx="24">
                  <c:v>-0.76172830399195335</c:v>
                </c:pt>
                <c:pt idx="26">
                  <c:v>-0.26998119867085407</c:v>
                </c:pt>
                <c:pt idx="27">
                  <c:v>-0.26998119867085407</c:v>
                </c:pt>
                <c:pt idx="28">
                  <c:v>-0.26998119867085407</c:v>
                </c:pt>
                <c:pt idx="29">
                  <c:v>-0.26998119867085407</c:v>
                </c:pt>
                <c:pt idx="31">
                  <c:v>-0.26998119867085407</c:v>
                </c:pt>
                <c:pt idx="32">
                  <c:v>-0.26998119867085407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1B-40E2-96B4-642391117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43640"/>
        <c:axId val="693243968"/>
      </c:scatterChart>
      <c:valAx>
        <c:axId val="69324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K</a:t>
                </a:r>
                <a:r>
                  <a:rPr lang="en-US" baseline="-25000"/>
                  <a:t>D</a:t>
                </a:r>
                <a:r>
                  <a:rPr lang="en-US" baseline="0"/>
                  <a:t> values inorganic aragonite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968"/>
        <c:crossesAt val="-5"/>
        <c:crossBetween val="midCat"/>
      </c:valAx>
      <c:valAx>
        <c:axId val="693243968"/>
        <c:scaling>
          <c:orientation val="minMax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K</a:t>
                </a:r>
                <a:r>
                  <a:rPr lang="en-US" baseline="-25000"/>
                  <a:t>D</a:t>
                </a:r>
                <a:r>
                  <a:rPr lang="en-US"/>
                  <a:t> values </a:t>
                </a:r>
                <a:r>
                  <a:rPr lang="en-US" i="1"/>
                  <a:t>Arctica</a:t>
                </a:r>
                <a:r>
                  <a:rPr lang="en-US" i="1" baseline="0"/>
                  <a:t> islandica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43640"/>
        <c:crossesAt val="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etc.'!$X$25:$X$29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'Lattice strain model etc.'!$AA$25:$AA$29</c:f>
              <c:numCache>
                <c:formatCode>General</c:formatCode>
                <c:ptCount val="5"/>
                <c:pt idx="0">
                  <c:v>0.56999999999999995</c:v>
                </c:pt>
                <c:pt idx="1">
                  <c:v>0.66</c:v>
                </c:pt>
                <c:pt idx="2">
                  <c:v>0.72</c:v>
                </c:pt>
                <c:pt idx="4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20-428C-BA4E-CDC76D22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etc.'!$X$25:$X$29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'Lattice strain model etc.'!$AJ$25:$AJ$29</c:f>
              <c:numCache>
                <c:formatCode>General</c:formatCode>
                <c:ptCount val="5"/>
                <c:pt idx="0">
                  <c:v>0.59</c:v>
                </c:pt>
                <c:pt idx="2">
                  <c:v>0.76</c:v>
                </c:pt>
                <c:pt idx="4">
                  <c:v>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57-4DCE-81F4-D8D642E4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etc.'!$X$25:$X$29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'Lattice strain model etc.'!$AD$25:$AD$29</c:f>
              <c:numCache>
                <c:formatCode>General</c:formatCode>
                <c:ptCount val="5"/>
                <c:pt idx="0">
                  <c:v>0.66</c:v>
                </c:pt>
                <c:pt idx="1">
                  <c:v>0.75</c:v>
                </c:pt>
                <c:pt idx="2">
                  <c:v>0.83</c:v>
                </c:pt>
                <c:pt idx="3">
                  <c:v>0.9</c:v>
                </c:pt>
                <c:pt idx="4">
                  <c:v>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45-4F1D-896D-BC2A90A4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etc.'!$X$25:$X$29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'Lattice strain model etc.'!$AE$25:$AE$29</c:f>
              <c:numCache>
                <c:formatCode>General</c:formatCode>
                <c:ptCount val="5"/>
                <c:pt idx="0">
                  <c:v>0.6</c:v>
                </c:pt>
                <c:pt idx="1">
                  <c:v>0.68</c:v>
                </c:pt>
                <c:pt idx="2">
                  <c:v>0.74</c:v>
                </c:pt>
                <c:pt idx="4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4-4490-BE30-4FFC86C98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etc.'!$X$25:$X$29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</c:numCache>
            </c:numRef>
          </c:xVal>
          <c:yVal>
            <c:numRef>
              <c:f>'Lattice strain model etc.'!$AB$25:$AB$29</c:f>
              <c:numCache>
                <c:formatCode>General</c:formatCode>
                <c:ptCount val="5"/>
                <c:pt idx="0">
                  <c:v>0.39</c:v>
                </c:pt>
                <c:pt idx="1">
                  <c:v>0.48</c:v>
                </c:pt>
                <c:pt idx="2">
                  <c:v>0.53500000000000003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8A-4A15-BD63-0BB75970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177821522309711E-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'Lattice strain model etc.'!$X$24:$X$29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xVal>
          <c:yVal>
            <c:numRef>
              <c:f>'Lattice strain model etc.'!$Y$24:$Y$29</c:f>
              <c:numCache>
                <c:formatCode>General</c:formatCode>
                <c:ptCount val="6"/>
                <c:pt idx="0">
                  <c:v>0.01</c:v>
                </c:pt>
                <c:pt idx="1">
                  <c:v>0.11</c:v>
                </c:pt>
                <c:pt idx="2">
                  <c:v>0.27</c:v>
                </c:pt>
                <c:pt idx="3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BB-49FA-B3EE-C7DAD283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42072"/>
        <c:axId val="672046008"/>
      </c:scatterChart>
      <c:valAx>
        <c:axId val="672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6008"/>
        <c:crosses val="autoZero"/>
        <c:crossBetween val="midCat"/>
      </c:valAx>
      <c:valAx>
        <c:axId val="672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04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'Lattice strain model etc.'!$U$6:$U$19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etc.'!$W$6:$W$19</c:f>
              <c:numCache>
                <c:formatCode>General</c:formatCode>
                <c:ptCount val="14"/>
                <c:pt idx="2">
                  <c:v>0.12484487638119626</c:v>
                </c:pt>
                <c:pt idx="5">
                  <c:v>38.876777576301791</c:v>
                </c:pt>
                <c:pt idx="6">
                  <c:v>0.40895347517061648</c:v>
                </c:pt>
                <c:pt idx="7">
                  <c:v>7.8092661273497548</c:v>
                </c:pt>
                <c:pt idx="10">
                  <c:v>1840</c:v>
                </c:pt>
                <c:pt idx="12">
                  <c:v>2.3417335269144168E-8</c:v>
                </c:pt>
                <c:pt idx="13">
                  <c:v>4.7513461833934927E-37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5-494D-A190-02805A84B90A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'Lattice strain model etc.'!$AR$6:$AR$21</c:f>
              <c:numCache>
                <c:formatCode>General</c:formatCode>
                <c:ptCount val="16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4">
                  <c:v>0.73</c:v>
                </c:pt>
                <c:pt idx="15">
                  <c:v>0.78</c:v>
                </c:pt>
              </c:numCache>
            </c:numRef>
          </c:xVal>
          <c:yVal>
            <c:numRef>
              <c:f>'Lattice strain model etc.'!$BM$6:$BM$21</c:f>
              <c:numCache>
                <c:formatCode>General</c:formatCode>
                <c:ptCount val="16"/>
                <c:pt idx="1">
                  <c:v>0.78775510204081634</c:v>
                </c:pt>
                <c:pt idx="2">
                  <c:v>0.15833333333333333</c:v>
                </c:pt>
                <c:pt idx="4">
                  <c:v>0.15918367346938775</c:v>
                </c:pt>
                <c:pt idx="5">
                  <c:v>38.888888888888893</c:v>
                </c:pt>
                <c:pt idx="6">
                  <c:v>0.61599999999999999</c:v>
                </c:pt>
                <c:pt idx="7">
                  <c:v>140.29850746268656</c:v>
                </c:pt>
                <c:pt idx="10">
                  <c:v>971.79487179487182</c:v>
                </c:pt>
                <c:pt idx="11">
                  <c:v>1</c:v>
                </c:pt>
                <c:pt idx="14">
                  <c:v>2.1052631578947367</c:v>
                </c:pt>
                <c:pt idx="15">
                  <c:v>7.746478873239437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D5-494D-A190-02805A84B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'Lattice strain model etc.'!$S$6:$S$19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2">
                        <c:v>0.89</c:v>
                      </c:pt>
                      <c:pt idx="5">
                        <c:v>0.83</c:v>
                      </c:pt>
                      <c:pt idx="6">
                        <c:v>0.9</c:v>
                      </c:pt>
                      <c:pt idx="7">
                        <c:v>1.31</c:v>
                      </c:pt>
                      <c:pt idx="8">
                        <c:v>1.47</c:v>
                      </c:pt>
                      <c:pt idx="9">
                        <c:v>1.19</c:v>
                      </c:pt>
                      <c:pt idx="10">
                        <c:v>1.18</c:v>
                      </c:pt>
                      <c:pt idx="12">
                        <c:v>0.5</c:v>
                      </c:pt>
                      <c:pt idx="13">
                        <c:v>1.65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'Lattice strain model etc.'!$AD$6:$AD$19</c15:sqref>
                        </c15:formulaRef>
                      </c:ext>
                    </c:extLst>
                    <c:numCache>
                      <c:formatCode>0.00000</c:formatCode>
                      <c:ptCount val="14"/>
                      <c:pt idx="1">
                        <c:v>0.45149351897222217</c:v>
                      </c:pt>
                      <c:pt idx="2" formatCode="General">
                        <c:v>21.7</c:v>
                      </c:pt>
                      <c:pt idx="4" formatCode="0.000000">
                        <c:v>5.6666666666666664E-2</c:v>
                      </c:pt>
                      <c:pt idx="6" formatCode="General">
                        <c:v>6950.5507738171427</c:v>
                      </c:pt>
                      <c:pt idx="7" formatCode="General">
                        <c:v>667</c:v>
                      </c:pt>
                      <c:pt idx="8" formatCode="General">
                        <c:v>4075</c:v>
                      </c:pt>
                      <c:pt idx="10" formatCode="General">
                        <c:v>1840</c:v>
                      </c:pt>
                      <c:pt idx="11" formatCode="General">
                        <c:v>0.30762687158392304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2DD5-494D-A190-02805A84B90A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'Lattice strain model etc.'!$Q$6:$Q$19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1">
                        <c:v>1.24</c:v>
                      </c:pt>
                      <c:pt idx="4">
                        <c:v>1.55</c:v>
                      </c:pt>
                      <c:pt idx="11">
                        <c:v>0.92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'Lattice strain model etc.'!$AE$6:$AE$19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1">
                        <c:v>-0.34534847944749131</c:v>
                      </c:pt>
                      <c:pt idx="2">
                        <c:v>1.3364597338485293</c:v>
                      </c:pt>
                      <c:pt idx="4">
                        <c:v>-1.2466723333413885</c:v>
                      </c:pt>
                      <c:pt idx="6">
                        <c:v>3.8420192202091172</c:v>
                      </c:pt>
                      <c:pt idx="7">
                        <c:v>2.8241258339165487</c:v>
                      </c:pt>
                      <c:pt idx="8">
                        <c:v>3.6101276130759947</c:v>
                      </c:pt>
                      <c:pt idx="10">
                        <c:v>3.2648178230095359</c:v>
                      </c:pt>
                      <c:pt idx="11">
                        <c:v>-0.51197573105883587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DD5-494D-A190-02805A84B90A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'Lattice strain model etc.'!$AQ$6:$AQ$19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0.78</c:v>
                      </c:pt>
                      <c:pt idx="1">
                        <c:v>1.24</c:v>
                      </c:pt>
                      <c:pt idx="2">
                        <c:v>0.89</c:v>
                      </c:pt>
                      <c:pt idx="3">
                        <c:v>0.75829999999999997</c:v>
                      </c:pt>
                      <c:pt idx="4">
                        <c:v>1.55</c:v>
                      </c:pt>
                      <c:pt idx="5">
                        <c:v>0.83</c:v>
                      </c:pt>
                      <c:pt idx="6">
                        <c:v>0.9</c:v>
                      </c:pt>
                      <c:pt idx="7">
                        <c:v>1.31</c:v>
                      </c:pt>
                      <c:pt idx="8">
                        <c:v>1.47</c:v>
                      </c:pt>
                      <c:pt idx="9">
                        <c:v>1.19</c:v>
                      </c:pt>
                      <c:pt idx="10">
                        <c:v>1.18</c:v>
                      </c:pt>
                      <c:pt idx="11">
                        <c:v>0.92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'Lattice strain model etc.'!$BA$6:$BA$19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2.2792093878475432</c:v>
                      </c:pt>
                      <c:pt idx="1">
                        <c:v>0.41504354355488676</c:v>
                      </c:pt>
                      <c:pt idx="2">
                        <c:v>6.8367631884428764E-2</c:v>
                      </c:pt>
                      <c:pt idx="3">
                        <c:v>85419.018499511541</c:v>
                      </c:pt>
                      <c:pt idx="4">
                        <c:v>6.5069193504039682E-2</c:v>
                      </c:pt>
                      <c:pt idx="5">
                        <c:v>87703.977244373469</c:v>
                      </c:pt>
                      <c:pt idx="6">
                        <c:v>3353.6455763113772</c:v>
                      </c:pt>
                      <c:pt idx="7">
                        <c:v>159.80074809178282</c:v>
                      </c:pt>
                      <c:pt idx="8">
                        <c:v>495.82213765725646</c:v>
                      </c:pt>
                      <c:pt idx="9">
                        <c:v>65641.230370009245</c:v>
                      </c:pt>
                      <c:pt idx="10">
                        <c:v>923.22405583697957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DD5-494D-A190-02805A84B90A}"/>
                  </c:ext>
                </c:extLst>
              </c15:ser>
            </c15:filteredScatterSeries>
          </c:ext>
        </c:extLst>
      </c:scatterChart>
      <c:valAx>
        <c:axId val="717412880"/>
        <c:scaling>
          <c:orientation val="minMax"/>
          <c:max val="1.5"/>
          <c:min val="0.60000000000000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1"/>
      </c:valAx>
      <c:valAx>
        <c:axId val="521159320"/>
        <c:scaling>
          <c:logBase val="10"/>
          <c:orientation val="minMax"/>
          <c:max val="5000"/>
          <c:min val="0.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Using 6-coordination</a:t>
            </a:r>
            <a:r>
              <a:rPr lang="en-US" sz="1200" baseline="0"/>
              <a:t> as in Onuma et al. 1979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'Lattice strain model etc.'!$U$6:$U$19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etc.'!$AE$6:$AE$19</c:f>
              <c:numCache>
                <c:formatCode>General</c:formatCode>
                <c:ptCount val="14"/>
                <c:pt idx="1">
                  <c:v>-0.34534847944749131</c:v>
                </c:pt>
                <c:pt idx="2">
                  <c:v>1.3364597338485293</c:v>
                </c:pt>
                <c:pt idx="4">
                  <c:v>-1.2466723333413885</c:v>
                </c:pt>
                <c:pt idx="6">
                  <c:v>3.8420192202091172</c:v>
                </c:pt>
                <c:pt idx="7">
                  <c:v>2.8241258339165487</c:v>
                </c:pt>
                <c:pt idx="8">
                  <c:v>3.6101276130759947</c:v>
                </c:pt>
                <c:pt idx="10">
                  <c:v>3.2648178230095359</c:v>
                </c:pt>
                <c:pt idx="11">
                  <c:v>-0.51197573105883587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3-E009-41E6-9036-2D77B3E041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'Lattice strain model etc.'!$U$6:$U$19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</c:numCache>
            </c:numRef>
          </c:xVal>
          <c:yVal>
            <c:numRef>
              <c:f>'Lattice strain model etc.'!$X$6:$X$19</c:f>
              <c:numCache>
                <c:formatCode>General</c:formatCode>
                <c:ptCount val="14"/>
                <c:pt idx="2">
                  <c:v>-0.90362927634053369</c:v>
                </c:pt>
                <c:pt idx="5">
                  <c:v>1.5896902598851765</c:v>
                </c:pt>
                <c:pt idx="6">
                  <c:v>-0.38832609694613751</c:v>
                </c:pt>
                <c:pt idx="7">
                  <c:v>0.89261022314521365</c:v>
                </c:pt>
                <c:pt idx="10">
                  <c:v>3.2648178230095359</c:v>
                </c:pt>
                <c:pt idx="12">
                  <c:v>-7.6304625261615655</c:v>
                </c:pt>
                <c:pt idx="13">
                  <c:v>-36.323183325703653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09-41E6-9036-2D77B3E04142}"/>
            </c:ext>
          </c:extLst>
        </c:ser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'Lattice strain model etc.'!$AR$6:$AR$19</c:f>
              <c:numCache>
                <c:formatCode>General</c:formatCode>
                <c:ptCount val="14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</c:numCache>
            </c:numRef>
          </c:xVal>
          <c:yVal>
            <c:numRef>
              <c:f>'Lattice strain model etc.'!$BB$6:$BB$19</c:f>
              <c:numCache>
                <c:formatCode>General</c:formatCode>
                <c:ptCount val="14"/>
                <c:pt idx="0">
                  <c:v>0.35778422505293161</c:v>
                </c:pt>
                <c:pt idx="1">
                  <c:v>-0.38190633766481685</c:v>
                </c:pt>
                <c:pt idx="2">
                  <c:v>-1.1651494629160619</c:v>
                </c:pt>
                <c:pt idx="3">
                  <c:v>4.9315545768930171</c:v>
                </c:pt>
                <c:pt idx="4">
                  <c:v>-1.1866245760679861</c:v>
                </c:pt>
                <c:pt idx="5">
                  <c:v>4.9430192884187072</c:v>
                </c:pt>
                <c:pt idx="6">
                  <c:v>3.5255171631044333</c:v>
                </c:pt>
                <c:pt idx="7">
                  <c:v>2.2035788080904428</c:v>
                </c:pt>
                <c:pt idx="8">
                  <c:v>2.6953259134115419</c:v>
                </c:pt>
                <c:pt idx="9">
                  <c:v>4.8171767128121621</c:v>
                </c:pt>
                <c:pt idx="10">
                  <c:v>2.9653071120823959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5-E009-41E6-9036-2D77B3E04142}"/>
            </c:ext>
          </c:extLst>
        </c:ser>
        <c:ser>
          <c:idx val="4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'Lattice strain model etc.'!$U$6:$U$21</c:f>
              <c:numCache>
                <c:formatCode>General</c:formatCode>
                <c:ptCount val="16"/>
                <c:pt idx="2">
                  <c:v>0.72</c:v>
                </c:pt>
                <c:pt idx="5">
                  <c:v>0.83</c:v>
                </c:pt>
                <c:pt idx="6">
                  <c:v>0.74</c:v>
                </c:pt>
                <c:pt idx="7">
                  <c:v>1.18</c:v>
                </c:pt>
                <c:pt idx="10">
                  <c:v>1</c:v>
                </c:pt>
                <c:pt idx="12">
                  <c:v>0.5</c:v>
                </c:pt>
                <c:pt idx="13">
                  <c:v>1.65</c:v>
                </c:pt>
                <c:pt idx="14">
                  <c:v>0.73</c:v>
                </c:pt>
                <c:pt idx="15">
                  <c:v>0.78</c:v>
                </c:pt>
              </c:numCache>
            </c:numRef>
          </c:xVal>
          <c:yVal>
            <c:numRef>
              <c:f>'Lattice strain model etc.'!$BN$6:$BN$21</c:f>
              <c:numCache>
                <c:formatCode>General</c:formatCode>
                <c:ptCount val="16"/>
                <c:pt idx="1">
                  <c:v>-0.10360877535675869</c:v>
                </c:pt>
                <c:pt idx="2">
                  <c:v>-0.8004276450947958</c:v>
                </c:pt>
                <c:pt idx="4">
                  <c:v>-0.79810147733803327</c:v>
                </c:pt>
                <c:pt idx="5">
                  <c:v>1.5898255349109507</c:v>
                </c:pt>
                <c:pt idx="6">
                  <c:v>-0.21041928783557454</c:v>
                </c:pt>
                <c:pt idx="7">
                  <c:v>2.1470530508988719</c:v>
                </c:pt>
                <c:pt idx="10">
                  <c:v>2.9875746029415726</c:v>
                </c:pt>
                <c:pt idx="11">
                  <c:v>0</c:v>
                </c:pt>
                <c:pt idx="14">
                  <c:v>0.32330639037513337</c:v>
                </c:pt>
                <c:pt idx="15">
                  <c:v>0.88910434077516842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09-41E6-9036-2D77B3E0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12880"/>
        <c:axId val="521159320"/>
        <c:extLst/>
      </c:scatterChart>
      <c:valAx>
        <c:axId val="717412880"/>
        <c:scaling>
          <c:orientation val="minMax"/>
          <c:max val="2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Ion radius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9320"/>
        <c:crossesAt val="-20"/>
        <c:crossBetween val="midCat"/>
        <c:majorUnit val="0.4"/>
      </c:valAx>
      <c:valAx>
        <c:axId val="521159320"/>
        <c:scaling>
          <c:orientation val="minMax"/>
          <c:max val="5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1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5.png"/><Relationship Id="rId18" Type="http://schemas.openxmlformats.org/officeDocument/2006/relationships/chart" Target="../charts/chart12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12" Type="http://schemas.openxmlformats.org/officeDocument/2006/relationships/chart" Target="../charts/chart8.xml"/><Relationship Id="rId17" Type="http://schemas.openxmlformats.org/officeDocument/2006/relationships/chart" Target="../charts/chart11.xml"/><Relationship Id="rId2" Type="http://schemas.openxmlformats.org/officeDocument/2006/relationships/image" Target="../media/image2.png"/><Relationship Id="rId16" Type="http://schemas.openxmlformats.org/officeDocument/2006/relationships/chart" Target="../charts/chart10.xml"/><Relationship Id="rId20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chart" Target="../charts/chart1.xml"/><Relationship Id="rId15" Type="http://schemas.openxmlformats.org/officeDocument/2006/relationships/chart" Target="../charts/chart9.xml"/><Relationship Id="rId10" Type="http://schemas.openxmlformats.org/officeDocument/2006/relationships/chart" Target="../charts/chart6.xml"/><Relationship Id="rId19" Type="http://schemas.openxmlformats.org/officeDocument/2006/relationships/chart" Target="../charts/chart13.xml"/><Relationship Id="rId4" Type="http://schemas.openxmlformats.org/officeDocument/2006/relationships/image" Target="../media/image4.png"/><Relationship Id="rId9" Type="http://schemas.openxmlformats.org/officeDocument/2006/relationships/chart" Target="../charts/chart5.xml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32</xdr:row>
      <xdr:rowOff>50800</xdr:rowOff>
    </xdr:from>
    <xdr:to>
      <xdr:col>10</xdr:col>
      <xdr:colOff>391349</xdr:colOff>
      <xdr:row>38</xdr:row>
      <xdr:rowOff>55426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6D42BD-56F4-2421-6DB4-D4999005E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5943600"/>
          <a:ext cx="5657143" cy="11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38100</xdr:rowOff>
    </xdr:from>
    <xdr:to>
      <xdr:col>10</xdr:col>
      <xdr:colOff>589795</xdr:colOff>
      <xdr:row>9</xdr:row>
      <xdr:rowOff>125161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A2CDED-6A30-A50D-A59D-E3C7D2BC9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222250"/>
          <a:ext cx="6038095" cy="1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10</xdr:row>
      <xdr:rowOff>50800</xdr:rowOff>
    </xdr:from>
    <xdr:to>
      <xdr:col>10</xdr:col>
      <xdr:colOff>524677</xdr:colOff>
      <xdr:row>31</xdr:row>
      <xdr:rowOff>131271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017079-37EE-FFB1-CFA7-1840D3E2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400" y="1892300"/>
          <a:ext cx="5828571" cy="3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43</xdr:row>
      <xdr:rowOff>6350</xdr:rowOff>
    </xdr:from>
    <xdr:to>
      <xdr:col>10</xdr:col>
      <xdr:colOff>524680</xdr:colOff>
      <xdr:row>48</xdr:row>
      <xdr:rowOff>182370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DB2FF7-C52C-3174-C0EF-242028FB1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100" y="7975600"/>
          <a:ext cx="5819048" cy="1095238"/>
        </a:xfrm>
        <a:prstGeom prst="rect">
          <a:avLst/>
        </a:prstGeom>
      </xdr:spPr>
    </xdr:pic>
    <xdr:clientData/>
  </xdr:twoCellAnchor>
  <xdr:twoCellAnchor>
    <xdr:from>
      <xdr:col>11</xdr:col>
      <xdr:colOff>267154</xdr:colOff>
      <xdr:row>29</xdr:row>
      <xdr:rowOff>85271</xdr:rowOff>
    </xdr:from>
    <xdr:to>
      <xdr:col>17</xdr:col>
      <xdr:colOff>533854</xdr:colOff>
      <xdr:row>44</xdr:row>
      <xdr:rowOff>13607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6250C10-2E96-518E-925F-6F9F1753C2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548596</xdr:colOff>
      <xdr:row>33</xdr:row>
      <xdr:rowOff>77788</xdr:rowOff>
    </xdr:from>
    <xdr:to>
      <xdr:col>36</xdr:col>
      <xdr:colOff>202973</xdr:colOff>
      <xdr:row>48</xdr:row>
      <xdr:rowOff>17918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DE2BABB-156B-7524-D00D-3C8C99EBA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391885</xdr:colOff>
      <xdr:row>33</xdr:row>
      <xdr:rowOff>87312</xdr:rowOff>
    </xdr:from>
    <xdr:to>
      <xdr:col>44</xdr:col>
      <xdr:colOff>425223</xdr:colOff>
      <xdr:row>48</xdr:row>
      <xdr:rowOff>27442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3D445EE-7508-4993-9A34-FA2560A7B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449036</xdr:colOff>
      <xdr:row>49</xdr:row>
      <xdr:rowOff>44450</xdr:rowOff>
    </xdr:from>
    <xdr:to>
      <xdr:col>36</xdr:col>
      <xdr:colOff>100693</xdr:colOff>
      <xdr:row>64</xdr:row>
      <xdr:rowOff>35379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4187FCF-D0BB-4469-ACD9-D9A1AB1F1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398235</xdr:colOff>
      <xdr:row>49</xdr:row>
      <xdr:rowOff>25400</xdr:rowOff>
    </xdr:from>
    <xdr:to>
      <xdr:col>44</xdr:col>
      <xdr:colOff>429986</xdr:colOff>
      <xdr:row>64</xdr:row>
      <xdr:rowOff>16329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0AAF36E-83D8-4987-8FA0-B54E401EB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390978</xdr:colOff>
      <xdr:row>65</xdr:row>
      <xdr:rowOff>55336</xdr:rowOff>
    </xdr:from>
    <xdr:to>
      <xdr:col>44</xdr:col>
      <xdr:colOff>420915</xdr:colOff>
      <xdr:row>80</xdr:row>
      <xdr:rowOff>46265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E2FEF14-F0C2-48A3-A2E0-784DE990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471715</xdr:colOff>
      <xdr:row>65</xdr:row>
      <xdr:rowOff>163286</xdr:rowOff>
    </xdr:from>
    <xdr:to>
      <xdr:col>35</xdr:col>
      <xdr:colOff>514350</xdr:colOff>
      <xdr:row>80</xdr:row>
      <xdr:rowOff>153308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0A0FA82-304A-49B2-832B-2A807A0E4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257323</xdr:colOff>
      <xdr:row>40</xdr:row>
      <xdr:rowOff>52468</xdr:rowOff>
    </xdr:from>
    <xdr:to>
      <xdr:col>73</xdr:col>
      <xdr:colOff>336055</xdr:colOff>
      <xdr:row>59</xdr:row>
      <xdr:rowOff>165152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1DEB417-887B-40DA-9AEC-68A10E4D6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61</xdr:col>
      <xdr:colOff>182336</xdr:colOff>
      <xdr:row>22</xdr:row>
      <xdr:rowOff>135843</xdr:rowOff>
    </xdr:from>
    <xdr:to>
      <xdr:col>73</xdr:col>
      <xdr:colOff>208196</xdr:colOff>
      <xdr:row>39</xdr:row>
      <xdr:rowOff>10907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6D8BB8A-5C58-0A7F-4D32-52BA37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821586" y="4187143"/>
          <a:ext cx="7505440" cy="3007259"/>
        </a:xfrm>
        <a:prstGeom prst="rect">
          <a:avLst/>
        </a:prstGeom>
      </xdr:spPr>
    </xdr:pic>
    <xdr:clientData/>
  </xdr:twoCellAnchor>
  <xdr:twoCellAnchor editAs="oneCell">
    <xdr:from>
      <xdr:col>61</xdr:col>
      <xdr:colOff>177030</xdr:colOff>
      <xdr:row>39</xdr:row>
      <xdr:rowOff>97118</xdr:rowOff>
    </xdr:from>
    <xdr:to>
      <xdr:col>66</xdr:col>
      <xdr:colOff>717154</xdr:colOff>
      <xdr:row>61</xdr:row>
      <xdr:rowOff>71516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7E0FEE0-79FF-22EF-D8A9-42D3DC443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960089" y="7380942"/>
          <a:ext cx="3567357" cy="4129690"/>
        </a:xfrm>
        <a:prstGeom prst="rect">
          <a:avLst/>
        </a:prstGeom>
      </xdr:spPr>
    </xdr:pic>
    <xdr:clientData/>
  </xdr:twoCellAnchor>
  <xdr:twoCellAnchor>
    <xdr:from>
      <xdr:col>12</xdr:col>
      <xdr:colOff>127680</xdr:colOff>
      <xdr:row>60</xdr:row>
      <xdr:rowOff>155804</xdr:rowOff>
    </xdr:from>
    <xdr:to>
      <xdr:col>18</xdr:col>
      <xdr:colOff>385536</xdr:colOff>
      <xdr:row>75</xdr:row>
      <xdr:rowOff>141744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430C0B0-97A6-4439-8DC1-C7966A71B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25853</xdr:colOff>
      <xdr:row>61</xdr:row>
      <xdr:rowOff>51255</xdr:rowOff>
    </xdr:from>
    <xdr:to>
      <xdr:col>25</xdr:col>
      <xdr:colOff>124278</xdr:colOff>
      <xdr:row>76</xdr:row>
      <xdr:rowOff>40368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9CA3709-6D46-40D3-B282-DD68D6B8A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72572</xdr:colOff>
      <xdr:row>30</xdr:row>
      <xdr:rowOff>63501</xdr:rowOff>
    </xdr:from>
    <xdr:to>
      <xdr:col>24</xdr:col>
      <xdr:colOff>166915</xdr:colOff>
      <xdr:row>44</xdr:row>
      <xdr:rowOff>173265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8655D0B-8EEA-4E42-9258-3FEEFC25E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54428</xdr:colOff>
      <xdr:row>88</xdr:row>
      <xdr:rowOff>145142</xdr:rowOff>
    </xdr:from>
    <xdr:to>
      <xdr:col>16</xdr:col>
      <xdr:colOff>544285</xdr:colOff>
      <xdr:row>103</xdr:row>
      <xdr:rowOff>166914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0CD8C6D-4CBA-4E32-BB91-40C53FC3B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444500</xdr:colOff>
      <xdr:row>89</xdr:row>
      <xdr:rowOff>54429</xdr:rowOff>
    </xdr:from>
    <xdr:to>
      <xdr:col>9</xdr:col>
      <xdr:colOff>154215</xdr:colOff>
      <xdr:row>104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32812A2-7DBD-4822-825F-95B91D173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697594</xdr:colOff>
      <xdr:row>45</xdr:row>
      <xdr:rowOff>69850</xdr:rowOff>
    </xdr:from>
    <xdr:to>
      <xdr:col>22</xdr:col>
      <xdr:colOff>43544</xdr:colOff>
      <xdr:row>60</xdr:row>
      <xdr:rowOff>48986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49789C0-233A-42CB-93AA-97DEE7389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74705</xdr:colOff>
      <xdr:row>54</xdr:row>
      <xdr:rowOff>59416</xdr:rowOff>
    </xdr:from>
    <xdr:to>
      <xdr:col>53</xdr:col>
      <xdr:colOff>33599</xdr:colOff>
      <xdr:row>57</xdr:row>
      <xdr:rowOff>10636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018E34B-24D4-29A9-9553-2F21E322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1352" y="10316534"/>
          <a:ext cx="3021843" cy="508348"/>
        </a:xfrm>
        <a:prstGeom prst="rect">
          <a:avLst/>
        </a:prstGeom>
      </xdr:spPr>
    </xdr:pic>
    <xdr:clientData/>
  </xdr:twoCellAnchor>
  <xdr:twoCellAnchor editAs="oneCell">
    <xdr:from>
      <xdr:col>50</xdr:col>
      <xdr:colOff>82176</xdr:colOff>
      <xdr:row>52</xdr:row>
      <xdr:rowOff>164354</xdr:rowOff>
    </xdr:from>
    <xdr:to>
      <xdr:col>52</xdr:col>
      <xdr:colOff>97118</xdr:colOff>
      <xdr:row>54</xdr:row>
      <xdr:rowOff>163190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39B9CF2-3F64-DF95-6E69-E50403C04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0" y="10047942"/>
          <a:ext cx="1240118" cy="366026"/>
        </a:xfrm>
        <a:prstGeom prst="rect">
          <a:avLst/>
        </a:prstGeom>
      </xdr:spPr>
    </xdr:pic>
    <xdr:clientData/>
  </xdr:twoCellAnchor>
  <xdr:twoCellAnchor>
    <xdr:from>
      <xdr:col>56</xdr:col>
      <xdr:colOff>715863</xdr:colOff>
      <xdr:row>83</xdr:row>
      <xdr:rowOff>123029</xdr:rowOff>
    </xdr:from>
    <xdr:to>
      <xdr:col>60</xdr:col>
      <xdr:colOff>688172</xdr:colOff>
      <xdr:row>98</xdr:row>
      <xdr:rowOff>95948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DEAF112-C511-F4F9-0223-A80D1CA9D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1305315</xdr:colOff>
      <xdr:row>83</xdr:row>
      <xdr:rowOff>153485</xdr:rowOff>
    </xdr:from>
    <xdr:to>
      <xdr:col>68</xdr:col>
      <xdr:colOff>274526</xdr:colOff>
      <xdr:row>98</xdr:row>
      <xdr:rowOff>128442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9FAF2ED-90A2-4C2C-A267-E9FBEEDB3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56</xdr:col>
      <xdr:colOff>908696</xdr:colOff>
      <xdr:row>139</xdr:row>
      <xdr:rowOff>67236</xdr:rowOff>
    </xdr:from>
    <xdr:to>
      <xdr:col>60</xdr:col>
      <xdr:colOff>891192</xdr:colOff>
      <xdr:row>154</xdr:row>
      <xdr:rowOff>40156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71CAA4C-B90D-4CF6-8C7B-8631017B1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519546</xdr:colOff>
      <xdr:row>139</xdr:row>
      <xdr:rowOff>-1</xdr:rowOff>
    </xdr:from>
    <xdr:to>
      <xdr:col>69</xdr:col>
      <xdr:colOff>444315</xdr:colOff>
      <xdr:row>153</xdr:row>
      <xdr:rowOff>159684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C2ED5D3-7F1E-4D7A-9B49-C36568C1F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C212-6B4E-43E2-B352-9D9B2DB3F596}">
  <dimension ref="A1:B12"/>
  <sheetViews>
    <sheetView tabSelected="1" workbookViewId="0"/>
  </sheetViews>
  <sheetFormatPr defaultRowHeight="14.5" x14ac:dyDescent="0.35"/>
  <sheetData>
    <row r="1" spans="1:2" x14ac:dyDescent="0.35">
      <c r="A1" s="68" t="s">
        <v>373</v>
      </c>
    </row>
    <row r="3" spans="1:2" x14ac:dyDescent="0.35">
      <c r="A3" t="s">
        <v>377</v>
      </c>
    </row>
    <row r="4" spans="1:2" x14ac:dyDescent="0.35">
      <c r="B4" t="s">
        <v>374</v>
      </c>
    </row>
    <row r="5" spans="1:2" x14ac:dyDescent="0.35">
      <c r="B5" t="s">
        <v>380</v>
      </c>
    </row>
    <row r="7" spans="1:2" x14ac:dyDescent="0.35">
      <c r="A7" t="s">
        <v>375</v>
      </c>
    </row>
    <row r="8" spans="1:2" x14ac:dyDescent="0.35">
      <c r="B8" t="s">
        <v>376</v>
      </c>
    </row>
    <row r="9" spans="1:2" x14ac:dyDescent="0.35">
      <c r="B9" t="s">
        <v>378</v>
      </c>
    </row>
    <row r="10" spans="1:2" x14ac:dyDescent="0.35">
      <c r="B10" t="s">
        <v>379</v>
      </c>
    </row>
    <row r="12" spans="1:2" x14ac:dyDescent="0.35">
      <c r="A12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0A34-3C08-475F-949D-CD6114F076D7}">
  <dimension ref="A1:BR88"/>
  <sheetViews>
    <sheetView topLeftCell="A29" zoomScale="85" zoomScaleNormal="85" workbookViewId="0">
      <selection activeCell="K54" sqref="K54"/>
    </sheetView>
  </sheetViews>
  <sheetFormatPr defaultRowHeight="14.5" x14ac:dyDescent="0.35"/>
  <cols>
    <col min="15" max="15" width="11.81640625" bestFit="1" customWidth="1"/>
    <col min="16" max="16" width="11.81640625" customWidth="1"/>
    <col min="17" max="17" width="11.81640625" bestFit="1" customWidth="1"/>
    <col min="20" max="20" width="12.453125" bestFit="1" customWidth="1"/>
    <col min="22" max="22" width="12.453125" bestFit="1" customWidth="1"/>
    <col min="23" max="23" width="11.81640625" bestFit="1" customWidth="1"/>
    <col min="24" max="24" width="9.81640625" bestFit="1" customWidth="1"/>
    <col min="45" max="45" width="11.453125" bestFit="1" customWidth="1"/>
    <col min="48" max="48" width="15.36328125" customWidth="1"/>
    <col min="49" max="52" width="11.6328125" customWidth="1"/>
    <col min="55" max="55" width="11.81640625" bestFit="1" customWidth="1"/>
    <col min="67" max="67" width="11.36328125" bestFit="1" customWidth="1"/>
  </cols>
  <sheetData>
    <row r="1" spans="1:70" x14ac:dyDescent="0.35">
      <c r="A1" t="s">
        <v>111</v>
      </c>
    </row>
    <row r="2" spans="1:70" x14ac:dyDescent="0.35">
      <c r="Q2" s="1" t="s">
        <v>331</v>
      </c>
      <c r="U2" s="150" t="s">
        <v>412</v>
      </c>
      <c r="V2" s="150"/>
      <c r="W2" s="150"/>
      <c r="X2" s="150"/>
    </row>
    <row r="3" spans="1:70" x14ac:dyDescent="0.35">
      <c r="U3" s="150" t="s">
        <v>411</v>
      </c>
      <c r="V3" s="150"/>
      <c r="X3" s="27" t="s">
        <v>322</v>
      </c>
      <c r="Y3" s="147">
        <v>5</v>
      </c>
      <c r="AR3" t="s">
        <v>332</v>
      </c>
      <c r="BC3" s="68" t="s">
        <v>366</v>
      </c>
    </row>
    <row r="4" spans="1:70" x14ac:dyDescent="0.35">
      <c r="Q4" t="s">
        <v>329</v>
      </c>
      <c r="R4" t="s">
        <v>330</v>
      </c>
      <c r="S4" t="s">
        <v>328</v>
      </c>
      <c r="U4" s="150" t="s">
        <v>328</v>
      </c>
      <c r="V4" s="150"/>
      <c r="W4" s="150" t="s">
        <v>324</v>
      </c>
      <c r="X4" s="150"/>
      <c r="Y4" t="s">
        <v>324</v>
      </c>
      <c r="AA4" t="s">
        <v>30</v>
      </c>
      <c r="AB4" t="s">
        <v>30</v>
      </c>
      <c r="AC4" t="s">
        <v>173</v>
      </c>
      <c r="AQ4" t="s">
        <v>342</v>
      </c>
      <c r="AR4" t="s">
        <v>343</v>
      </c>
      <c r="AS4" t="s">
        <v>343</v>
      </c>
      <c r="AU4" t="s">
        <v>235</v>
      </c>
      <c r="AV4" t="s">
        <v>297</v>
      </c>
      <c r="AW4" t="s">
        <v>235</v>
      </c>
      <c r="AX4" t="s">
        <v>297</v>
      </c>
      <c r="BA4" t="s">
        <v>359</v>
      </c>
      <c r="BC4" t="s">
        <v>359</v>
      </c>
      <c r="BM4" t="s">
        <v>340</v>
      </c>
    </row>
    <row r="5" spans="1:70" x14ac:dyDescent="0.35">
      <c r="M5" t="s">
        <v>21</v>
      </c>
      <c r="O5" t="s">
        <v>318</v>
      </c>
      <c r="P5" t="s">
        <v>312</v>
      </c>
      <c r="Q5" t="s">
        <v>315</v>
      </c>
      <c r="R5" t="s">
        <v>315</v>
      </c>
      <c r="S5" t="s">
        <v>315</v>
      </c>
      <c r="T5" t="s">
        <v>321</v>
      </c>
      <c r="U5" t="s">
        <v>315</v>
      </c>
      <c r="V5" t="s">
        <v>321</v>
      </c>
      <c r="W5" t="s">
        <v>312</v>
      </c>
      <c r="X5" t="s">
        <v>320</v>
      </c>
      <c r="Y5" t="s">
        <v>312</v>
      </c>
      <c r="Z5" t="s">
        <v>320</v>
      </c>
      <c r="AA5" t="s">
        <v>23</v>
      </c>
      <c r="AB5" t="s">
        <v>175</v>
      </c>
      <c r="AC5" t="s">
        <v>175</v>
      </c>
      <c r="AD5" t="s">
        <v>255</v>
      </c>
      <c r="AE5" t="s">
        <v>302</v>
      </c>
      <c r="AG5" t="s">
        <v>255</v>
      </c>
      <c r="AH5" t="s">
        <v>302</v>
      </c>
      <c r="AJ5" t="s">
        <v>255</v>
      </c>
      <c r="AK5" t="s">
        <v>302</v>
      </c>
      <c r="AM5" t="s">
        <v>255</v>
      </c>
      <c r="AN5" t="s">
        <v>302</v>
      </c>
      <c r="AQ5" t="s">
        <v>315</v>
      </c>
      <c r="AR5" t="s">
        <v>315</v>
      </c>
      <c r="AS5" t="s">
        <v>315</v>
      </c>
      <c r="AU5" t="s">
        <v>175</v>
      </c>
      <c r="AV5" t="s">
        <v>175</v>
      </c>
      <c r="AW5" t="s">
        <v>413</v>
      </c>
      <c r="AX5" t="s">
        <v>413</v>
      </c>
      <c r="AZ5" t="s">
        <v>70</v>
      </c>
      <c r="BA5" t="s">
        <v>255</v>
      </c>
      <c r="BB5" t="s">
        <v>302</v>
      </c>
      <c r="BC5" t="s">
        <v>255</v>
      </c>
      <c r="BD5" t="s">
        <v>302</v>
      </c>
      <c r="BE5" t="s">
        <v>21</v>
      </c>
      <c r="BF5" t="s">
        <v>70</v>
      </c>
      <c r="BK5" t="s">
        <v>226</v>
      </c>
      <c r="BL5" t="s">
        <v>230</v>
      </c>
      <c r="BM5" t="s">
        <v>255</v>
      </c>
      <c r="BN5" t="s">
        <v>302</v>
      </c>
      <c r="BO5" t="s">
        <v>416</v>
      </c>
      <c r="BP5" t="s">
        <v>417</v>
      </c>
      <c r="BR5" t="s">
        <v>70</v>
      </c>
    </row>
    <row r="6" spans="1:70" x14ac:dyDescent="0.35">
      <c r="M6">
        <v>10.811</v>
      </c>
      <c r="N6" s="134" t="s">
        <v>10</v>
      </c>
      <c r="O6" s="138" t="s">
        <v>316</v>
      </c>
      <c r="P6" s="134"/>
      <c r="Q6" s="134"/>
      <c r="R6" s="138">
        <v>0.78</v>
      </c>
      <c r="S6" s="134"/>
      <c r="T6" s="134"/>
      <c r="U6" s="134"/>
      <c r="V6" s="134"/>
      <c r="W6" s="134"/>
      <c r="X6" s="134"/>
      <c r="Y6" s="134"/>
      <c r="Z6" s="134"/>
      <c r="AA6" s="136"/>
      <c r="AE6" s="134"/>
      <c r="AH6" s="134"/>
      <c r="AK6" s="134"/>
      <c r="AN6" s="134"/>
      <c r="AQ6">
        <f>R6</f>
        <v>0.78</v>
      </c>
      <c r="AT6" s="134" t="s">
        <v>10</v>
      </c>
      <c r="AU6">
        <v>10.250461599880232</v>
      </c>
      <c r="AV6" s="142">
        <v>4.497376</v>
      </c>
      <c r="BA6">
        <f t="shared" ref="BA6:BA16" si="0">AU6/AV6</f>
        <v>2.2792093878475432</v>
      </c>
      <c r="BB6" s="148">
        <f>LOG(BA6,10)</f>
        <v>0.35778422505293161</v>
      </c>
      <c r="BH6" t="s">
        <v>418</v>
      </c>
      <c r="BI6" t="s">
        <v>419</v>
      </c>
      <c r="BJ6" s="134" t="s">
        <v>10</v>
      </c>
    </row>
    <row r="7" spans="1:70" x14ac:dyDescent="0.35">
      <c r="M7">
        <v>22.989768999999999</v>
      </c>
      <c r="N7" s="67" t="s">
        <v>11</v>
      </c>
      <c r="O7" s="67" t="s">
        <v>316</v>
      </c>
      <c r="P7" s="67"/>
      <c r="Q7" s="67">
        <v>1.24</v>
      </c>
      <c r="R7" s="67"/>
      <c r="S7" s="67"/>
      <c r="T7" s="67"/>
      <c r="U7" s="67"/>
      <c r="V7" s="67"/>
      <c r="W7" s="67"/>
      <c r="X7" s="67"/>
      <c r="Y7" s="67"/>
      <c r="Z7" s="67"/>
      <c r="AA7" s="136"/>
      <c r="AD7" s="15">
        <v>0.45149351897222217</v>
      </c>
      <c r="AE7" s="67">
        <f>LOG(AD7,10)</f>
        <v>-0.34534847944749131</v>
      </c>
      <c r="AF7" s="106" t="s">
        <v>273</v>
      </c>
      <c r="AG7" s="15">
        <v>0.45149351897222217</v>
      </c>
      <c r="AH7" s="67">
        <f>LOG(AG7,10)</f>
        <v>-0.34534847944749131</v>
      </c>
      <c r="AI7" s="106" t="s">
        <v>273</v>
      </c>
      <c r="AJ7" s="15">
        <v>0.45149351897222217</v>
      </c>
      <c r="AK7" s="67">
        <f>LOG(AJ7,10)</f>
        <v>-0.34534847944749131</v>
      </c>
      <c r="AL7" s="106" t="s">
        <v>273</v>
      </c>
      <c r="AM7" s="15">
        <v>0.45149351897222217</v>
      </c>
      <c r="AN7" s="67">
        <f>LOG(AM7,10)</f>
        <v>-0.34534847944749131</v>
      </c>
      <c r="AO7" s="106" t="s">
        <v>273</v>
      </c>
      <c r="AQ7">
        <f>Q7</f>
        <v>1.24</v>
      </c>
      <c r="AS7">
        <v>1.02</v>
      </c>
      <c r="AT7" s="67" t="s">
        <v>11</v>
      </c>
      <c r="AU7">
        <v>4475.0831847048257</v>
      </c>
      <c r="AV7" s="142">
        <v>10782.201660999999</v>
      </c>
      <c r="AW7" s="148">
        <f>AU7*$BE$16/BE7/$AU$16*1000</f>
        <v>20.530000000000005</v>
      </c>
      <c r="AX7" s="148">
        <f>AV7*$BE$16/BE7/$AV$16*1000</f>
        <v>45666.991236611495</v>
      </c>
      <c r="AY7" s="148" t="s">
        <v>23</v>
      </c>
      <c r="AZ7" s="175">
        <f>AW7/AX7</f>
        <v>4.4955884861407253E-4</v>
      </c>
      <c r="BA7">
        <f t="shared" si="0"/>
        <v>0.41504354355488676</v>
      </c>
      <c r="BB7" s="148">
        <f t="shared" ref="BB7:BD16" si="1">LOG(BA7,10)</f>
        <v>-0.38190633766481685</v>
      </c>
      <c r="BC7">
        <f>AU7/BL7</f>
        <v>0.45664114129641081</v>
      </c>
      <c r="BD7" s="148">
        <f t="shared" si="1"/>
        <v>-0.3404249631193319</v>
      </c>
      <c r="BE7">
        <v>22.989768999999999</v>
      </c>
      <c r="BF7" s="15">
        <f>AW7/BP7</f>
        <v>4.6865801343579008E-4</v>
      </c>
      <c r="BH7">
        <f>-(100-100*BL7/AV7)</f>
        <v>-9.1094721827796405</v>
      </c>
      <c r="BI7">
        <f>BL7/AV7</f>
        <v>0.90890527817220357</v>
      </c>
      <c r="BJ7" s="67" t="s">
        <v>11</v>
      </c>
      <c r="BK7">
        <v>7720</v>
      </c>
      <c r="BL7">
        <v>9800</v>
      </c>
      <c r="BM7">
        <f>BK7/BL7</f>
        <v>0.78775510204081634</v>
      </c>
      <c r="BN7">
        <f>LOG(BM7,10)</f>
        <v>-0.10360877535675869</v>
      </c>
      <c r="BO7">
        <f>BK7*$BE$16/BE7/$BK$16*1000</f>
        <v>35.50990609164343</v>
      </c>
      <c r="BP7">
        <f>BL7*$BE$16/BE7/$BL$16*1000</f>
        <v>43805.929721529836</v>
      </c>
      <c r="BQ7" s="148" t="s">
        <v>23</v>
      </c>
      <c r="BR7">
        <f>BO7/BP7</f>
        <v>8.1061870658553654E-4</v>
      </c>
    </row>
    <row r="8" spans="1:70" x14ac:dyDescent="0.35">
      <c r="M8">
        <v>24.305</v>
      </c>
      <c r="N8" s="148" t="s">
        <v>12</v>
      </c>
      <c r="O8" s="6" t="s">
        <v>317</v>
      </c>
      <c r="P8" t="s">
        <v>12</v>
      </c>
      <c r="S8" s="6">
        <v>0.89</v>
      </c>
      <c r="T8">
        <f>S8*10^-7</f>
        <v>8.9000000000000003E-8</v>
      </c>
      <c r="U8" s="6">
        <v>0.72</v>
      </c>
      <c r="V8">
        <f>U8*10^-7</f>
        <v>7.1999999999999996E-8</v>
      </c>
      <c r="W8">
        <f>$Y$16*EXP((-4*PI()*$B$40*(6.02214076E+23)*(($V$16/2)*((V8-$V$16)^2)+(1/3)*((V8-$V$16)^3)))/(8.31446261815324*(273.15+$Y$3)))</f>
        <v>0.12484487638119626</v>
      </c>
      <c r="X8">
        <f>LOG(W8,10)</f>
        <v>-0.90362927634053369</v>
      </c>
      <c r="Y8">
        <f>$Y$16*EXP((-4*PI()*$B$40*(6.02214076E+23)*(($T$16/2)*((T8-$T$16)^2)+(1/3)*((T8-$T$16)^3)))/(8.31446261815324*(273.15+$Y$3)))</f>
        <v>6.9240916065238124E-3</v>
      </c>
      <c r="Z8">
        <f>LOG(Y8,10)</f>
        <v>-2.159637194992972</v>
      </c>
      <c r="AA8" s="13">
        <v>84.238186744311491</v>
      </c>
      <c r="AB8">
        <v>18987.5</v>
      </c>
      <c r="AC8">
        <v>875</v>
      </c>
      <c r="AD8">
        <v>21.7</v>
      </c>
      <c r="AE8">
        <f>LOG(AD8,10)</f>
        <v>1.3364597338485293</v>
      </c>
      <c r="AF8" s="106" t="s">
        <v>325</v>
      </c>
      <c r="AG8" s="38">
        <v>2.5225395557937218</v>
      </c>
      <c r="AH8">
        <f>LOG(AG8,10)</f>
        <v>0.40183798510845237</v>
      </c>
      <c r="AI8" s="106" t="s">
        <v>285</v>
      </c>
      <c r="AJ8" s="140">
        <v>1.2237499831419185</v>
      </c>
      <c r="AK8">
        <f>LOG(AJ8,10)</f>
        <v>8.7692698828459342E-2</v>
      </c>
      <c r="AL8" s="106" t="s">
        <v>256</v>
      </c>
      <c r="AM8" s="38">
        <v>1.2237499831419185</v>
      </c>
      <c r="AN8">
        <f>LOG(AM8,10)</f>
        <v>8.7692698828459342E-2</v>
      </c>
      <c r="AO8" s="106" t="s">
        <v>256</v>
      </c>
      <c r="AQ8">
        <f>S8</f>
        <v>0.89</v>
      </c>
      <c r="AR8">
        <v>0.72</v>
      </c>
      <c r="AT8" s="148" t="s">
        <v>12</v>
      </c>
      <c r="AU8">
        <v>87.570287938519868</v>
      </c>
      <c r="AV8" s="142">
        <v>1280.8734999999999</v>
      </c>
      <c r="AW8" s="148">
        <f>AU8*$BE$16/BE8/$AU$16*1000</f>
        <v>0.37999999999999995</v>
      </c>
      <c r="AX8" s="148">
        <f>AV8*$BE$16/BE8/$AV$16*1000</f>
        <v>5131.4508276533588</v>
      </c>
      <c r="AY8" s="148" t="s">
        <v>23</v>
      </c>
      <c r="AZ8" s="175">
        <f>AW8/AX8</f>
        <v>7.4053130929791264E-5</v>
      </c>
      <c r="BA8">
        <f t="shared" si="0"/>
        <v>6.8367631884428764E-2</v>
      </c>
      <c r="BB8" s="148">
        <f t="shared" si="1"/>
        <v>-1.1651494629160619</v>
      </c>
      <c r="BC8">
        <f>AU8/BL8</f>
        <v>7.2975239948766563E-2</v>
      </c>
      <c r="BD8" s="148">
        <f t="shared" si="1"/>
        <v>-1.136824468340579</v>
      </c>
      <c r="BE8">
        <v>24.305</v>
      </c>
      <c r="BF8" s="15">
        <f>AW8/BP8</f>
        <v>7.4895641000049894E-5</v>
      </c>
      <c r="BH8">
        <f>-(100-100*BL8/AV8)</f>
        <v>-6.3139334212160634</v>
      </c>
      <c r="BI8">
        <f>BL8/AV8</f>
        <v>0.93686066578783933</v>
      </c>
      <c r="BJ8" s="148" t="s">
        <v>12</v>
      </c>
      <c r="BK8">
        <v>190</v>
      </c>
      <c r="BL8">
        <v>1200</v>
      </c>
      <c r="BM8">
        <f>BK8/BL8</f>
        <v>0.15833333333333333</v>
      </c>
      <c r="BN8">
        <v>-0.8004276450947958</v>
      </c>
      <c r="BO8">
        <f>BK8*$BE$16/BE8/$BK$16*1000</f>
        <v>0.82665597000302349</v>
      </c>
      <c r="BP8">
        <f>BL8*$BE$16/BE8/$BL$16*1000</f>
        <v>5073.7265203424431</v>
      </c>
      <c r="BQ8" s="148" t="s">
        <v>23</v>
      </c>
      <c r="BR8">
        <f>BO8/BP8</f>
        <v>1.6292875989445913E-4</v>
      </c>
    </row>
    <row r="9" spans="1:70" x14ac:dyDescent="0.35">
      <c r="M9">
        <v>26.981539000000001</v>
      </c>
      <c r="N9" s="134" t="s">
        <v>13</v>
      </c>
      <c r="O9" s="138" t="s">
        <v>316</v>
      </c>
      <c r="P9" s="138"/>
      <c r="Q9" s="138"/>
      <c r="R9" s="138">
        <v>0.75829999999999997</v>
      </c>
      <c r="S9" s="138"/>
      <c r="T9" s="138"/>
      <c r="U9" s="138"/>
      <c r="V9" s="138"/>
      <c r="W9" s="138"/>
      <c r="X9" s="138"/>
      <c r="Y9" s="138"/>
      <c r="Z9" s="138"/>
      <c r="AA9" s="136"/>
      <c r="AE9" s="138"/>
      <c r="AH9" s="138"/>
      <c r="AK9" s="138"/>
      <c r="AN9" s="138"/>
      <c r="AQ9">
        <f>R9</f>
        <v>0.75829999999999997</v>
      </c>
      <c r="AT9" s="134" t="s">
        <v>13</v>
      </c>
      <c r="AU9">
        <v>2.5582576026747845</v>
      </c>
      <c r="AV9" s="142">
        <v>2.9949508290000002E-5</v>
      </c>
      <c r="AZ9" s="15"/>
      <c r="BA9">
        <f t="shared" si="0"/>
        <v>85419.018499511541</v>
      </c>
      <c r="BB9" s="148">
        <f t="shared" si="1"/>
        <v>4.9315545768930171</v>
      </c>
      <c r="BF9" s="15"/>
      <c r="BJ9" s="134" t="s">
        <v>13</v>
      </c>
    </row>
    <row r="10" spans="1:70" x14ac:dyDescent="0.35">
      <c r="M10">
        <v>39.098300000000002</v>
      </c>
      <c r="N10" s="67" t="s">
        <v>14</v>
      </c>
      <c r="O10" s="67" t="s">
        <v>316</v>
      </c>
      <c r="P10" s="67"/>
      <c r="Q10" s="67">
        <v>1.55</v>
      </c>
      <c r="R10" s="67"/>
      <c r="S10" s="67"/>
      <c r="T10" s="67"/>
      <c r="U10" s="67"/>
      <c r="V10" s="67"/>
      <c r="W10" s="67"/>
      <c r="X10" s="67"/>
      <c r="Y10" s="67"/>
      <c r="Z10" s="67"/>
      <c r="AA10" s="136"/>
      <c r="AD10" s="48">
        <v>5.6666666666666664E-2</v>
      </c>
      <c r="AE10" s="67">
        <f>LOG(AD10,10)</f>
        <v>-1.2466723333413885</v>
      </c>
      <c r="AF10" s="123" t="s">
        <v>326</v>
      </c>
      <c r="AG10" s="48">
        <v>5.6666666666666664E-2</v>
      </c>
      <c r="AH10" s="67">
        <f>LOG(AG10,10)</f>
        <v>-1.2466723333413885</v>
      </c>
      <c r="AI10" s="123" t="s">
        <v>326</v>
      </c>
      <c r="AJ10" s="15">
        <v>5.6666666666666664E-2</v>
      </c>
      <c r="AK10" s="67">
        <f>LOG(AJ10,10)</f>
        <v>-1.2466723333413885</v>
      </c>
      <c r="AL10" s="123" t="s">
        <v>326</v>
      </c>
      <c r="AM10" s="48">
        <v>5.6666666666666664E-2</v>
      </c>
      <c r="AN10" s="67">
        <f>LOG(AM10,10)</f>
        <v>-1.2466723333413885</v>
      </c>
      <c r="AO10" s="123" t="s">
        <v>326</v>
      </c>
      <c r="AQ10">
        <f>Q10</f>
        <v>1.55</v>
      </c>
      <c r="AS10">
        <v>1.38</v>
      </c>
      <c r="AT10" s="67" t="s">
        <v>14</v>
      </c>
      <c r="AU10">
        <v>25.949767453465746</v>
      </c>
      <c r="AV10" s="142">
        <v>398.80266</v>
      </c>
      <c r="AW10" s="148">
        <f>AU10*$BE$16/BE10/$AU$16*1000</f>
        <v>7.0000000000000007E-2</v>
      </c>
      <c r="AX10" s="148">
        <f>AV10*$BE$16/BE10/$AV$16*1000</f>
        <v>993.18403115871456</v>
      </c>
      <c r="AY10" s="148" t="s">
        <v>23</v>
      </c>
      <c r="AZ10" s="175">
        <f>AW10/AX10</f>
        <v>7.0480392156862758E-5</v>
      </c>
      <c r="BA10">
        <f t="shared" si="0"/>
        <v>6.5069193504039682E-2</v>
      </c>
      <c r="BB10" s="148">
        <f t="shared" si="1"/>
        <v>-1.1866245760679861</v>
      </c>
      <c r="BC10">
        <f>AU10/BL10</f>
        <v>5.2958709088705605E-2</v>
      </c>
      <c r="BD10" s="148">
        <f t="shared" si="1"/>
        <v>-1.2760626097179919</v>
      </c>
      <c r="BE10">
        <v>39.098300000000002</v>
      </c>
      <c r="BF10" s="15">
        <f>AW10/BP10</f>
        <v>5.4352359327882069E-5</v>
      </c>
      <c r="BH10">
        <f>-(100-100*BL10/AV10)</f>
        <v>22.867786288085441</v>
      </c>
      <c r="BI10">
        <f>BL10/AV10</f>
        <v>1.2286778628808543</v>
      </c>
      <c r="BJ10" s="67" t="s">
        <v>14</v>
      </c>
      <c r="BK10">
        <v>78</v>
      </c>
      <c r="BL10">
        <v>490</v>
      </c>
      <c r="BM10">
        <f>BK10/BL10</f>
        <v>0.15918367346938775</v>
      </c>
      <c r="BN10">
        <f>LOG(BM10,10)</f>
        <v>-0.79810147733803327</v>
      </c>
      <c r="BO10">
        <f>BK10*$BE$16/BE10/$BK$16*1000</f>
        <v>0.21096167209477973</v>
      </c>
      <c r="BP10">
        <f>BL10*$BE$16/BE10/$BL$16*1000</f>
        <v>1287.8925747771707</v>
      </c>
      <c r="BQ10" s="148" t="s">
        <v>23</v>
      </c>
      <c r="BR10">
        <f>BO10/BP10</f>
        <v>1.6380378008723284E-4</v>
      </c>
    </row>
    <row r="11" spans="1:70" x14ac:dyDescent="0.35">
      <c r="L11" t="s">
        <v>348</v>
      </c>
      <c r="M11">
        <v>54.938043999999998</v>
      </c>
      <c r="N11" s="148" t="s">
        <v>15</v>
      </c>
      <c r="O11" s="152" t="s">
        <v>332</v>
      </c>
      <c r="P11" t="s">
        <v>15</v>
      </c>
      <c r="S11">
        <v>0.83</v>
      </c>
      <c r="T11">
        <f t="shared" ref="T11:T16" si="2">S11*10^-7</f>
        <v>8.2999999999999989E-8</v>
      </c>
      <c r="U11">
        <v>0.83</v>
      </c>
      <c r="V11">
        <f>U11*10^-7</f>
        <v>8.2999999999999989E-8</v>
      </c>
      <c r="W11">
        <f>$Y$16*EXP((-4*PI()*$B$40*(6.02214076E+23)*(($V$16/2)*((V11-$V$16)^2)+(1/3)*((V11-$V$16)^3)))/(8.31446261815324*(273.15+$Y$3)))</f>
        <v>38.876777576301791</v>
      </c>
      <c r="X11">
        <f>LOG(W11,10)</f>
        <v>1.5896902598851765</v>
      </c>
      <c r="Y11">
        <f>$Y$16*EXP((-4*PI()*$B$40*(6.02214076E+23)*(($T$16/2)*((T11-$T$16)^2)+(1/3)*((T11-$T$16)^3)))/(8.31446261815324*(273.15+$Y$3)))</f>
        <v>4.8292729909623314E-5</v>
      </c>
      <c r="Z11">
        <f t="shared" ref="Z11:Z16" si="3">LOG(Y11,10)</f>
        <v>-4.3161182439437145</v>
      </c>
      <c r="AA11" s="136"/>
      <c r="AQ11">
        <f t="shared" ref="AQ11:AQ16" si="4">S11</f>
        <v>0.83</v>
      </c>
      <c r="AR11">
        <v>0.83</v>
      </c>
      <c r="AS11">
        <v>0.83</v>
      </c>
      <c r="AT11" s="148" t="s">
        <v>15</v>
      </c>
      <c r="AU11">
        <v>1.7345825858974997</v>
      </c>
      <c r="AV11" s="142">
        <v>1.9777695839999997E-5</v>
      </c>
      <c r="AW11" s="148">
        <f>AU11*$BE$16/BE11/$AU$16*1000000</f>
        <v>3.3299999999999996</v>
      </c>
      <c r="AX11" s="148">
        <f>AV11*$BE$16/BE11/$AV$16*1000000</f>
        <v>3.5053554040895808E-2</v>
      </c>
      <c r="AY11" s="148" t="s">
        <v>24</v>
      </c>
      <c r="AZ11" s="175">
        <f>AW11/AX11</f>
        <v>94.997500000000002</v>
      </c>
      <c r="BA11">
        <f t="shared" si="0"/>
        <v>87703.977244373469</v>
      </c>
      <c r="BB11" s="148">
        <f t="shared" si="1"/>
        <v>4.9430192884187072</v>
      </c>
      <c r="BC11">
        <f>AU11/BL11</f>
        <v>9.6365699216527769</v>
      </c>
      <c r="BD11" s="148">
        <f t="shared" si="1"/>
        <v>0.98392247693336243</v>
      </c>
      <c r="BE11">
        <v>54.938043999999998</v>
      </c>
      <c r="BF11" s="15">
        <f>AW11/BP11</f>
        <v>9.8901638669594281</v>
      </c>
      <c r="BH11">
        <f>-(100-100*BL11/AV11)</f>
        <v>910016.13009010674</v>
      </c>
      <c r="BI11">
        <f>BL11/AV11</f>
        <v>9101.1613009010671</v>
      </c>
      <c r="BJ11" s="148" t="s">
        <v>15</v>
      </c>
      <c r="BK11">
        <v>7</v>
      </c>
      <c r="BL11">
        <v>0.18</v>
      </c>
      <c r="BM11">
        <f>BK11/BL11</f>
        <v>38.888888888888893</v>
      </c>
      <c r="BN11">
        <f>LOG(BM11,10)</f>
        <v>1.5898255349109507</v>
      </c>
      <c r="BO11">
        <f>BK11*$BE$16/BE11/$BK$16*1000000</f>
        <v>13.473849067665387</v>
      </c>
      <c r="BP11">
        <f>BL11*$BE$16/BE11/$BL$16*1000</f>
        <v>0.33669816241616579</v>
      </c>
      <c r="BQ11" s="148" t="s">
        <v>24</v>
      </c>
      <c r="BR11">
        <f>BO11/BP11</f>
        <v>40.017590149516273</v>
      </c>
    </row>
    <row r="12" spans="1:70" x14ac:dyDescent="0.35">
      <c r="M12">
        <v>65.38</v>
      </c>
      <c r="N12" s="148" t="s">
        <v>16</v>
      </c>
      <c r="O12" s="6" t="s">
        <v>317</v>
      </c>
      <c r="P12" t="s">
        <v>16</v>
      </c>
      <c r="S12" s="6">
        <v>0.9</v>
      </c>
      <c r="T12">
        <f t="shared" si="2"/>
        <v>8.9999999999999999E-8</v>
      </c>
      <c r="U12" s="6">
        <v>0.74</v>
      </c>
      <c r="V12">
        <f>U12*10^-7</f>
        <v>7.4000000000000001E-8</v>
      </c>
      <c r="W12">
        <f>$Y$16*EXP((-4*PI()*$B$40*(6.02214076E+23)*(($V$16/2)*((V12-$V$16)^2)+(1/3)*((V12-$V$16)^3)))/(8.31446261815324*(273.15+$Y$3)))</f>
        <v>0.40895347517061648</v>
      </c>
      <c r="X12">
        <f>LOG(W12,10)</f>
        <v>-0.38832609694613751</v>
      </c>
      <c r="Y12">
        <f>$Y$16*EXP((-4*PI()*$B$40*(6.02214076E+23)*(($T$16/2)*((T12-$T$16)^2)+(1/3)*((T12-$T$16)^3)))/(8.31446261815324*(273.15+$Y$3)))</f>
        <v>1.4922636011529197E-2</v>
      </c>
      <c r="Z12">
        <f t="shared" si="3"/>
        <v>-1.826154454065545</v>
      </c>
      <c r="AA12" s="136"/>
      <c r="AD12">
        <v>6950.5507738171427</v>
      </c>
      <c r="AE12">
        <f>LOG(AD12,10)</f>
        <v>3.8420192202091172</v>
      </c>
      <c r="AF12" s="106" t="s">
        <v>286</v>
      </c>
      <c r="AG12">
        <v>6950.5507738171427</v>
      </c>
      <c r="AH12">
        <f>LOG(AG12,10)</f>
        <v>3.8420192202091172</v>
      </c>
      <c r="AI12" s="106" t="s">
        <v>286</v>
      </c>
      <c r="AJ12">
        <v>6950.5507738171427</v>
      </c>
      <c r="AK12">
        <f>LOG(AJ12,10)</f>
        <v>3.8420192202091172</v>
      </c>
      <c r="AL12" s="106" t="s">
        <v>286</v>
      </c>
      <c r="AM12">
        <v>6950.5507738171427</v>
      </c>
      <c r="AN12">
        <f>LOG(AM12,10)</f>
        <v>3.8420192202091172</v>
      </c>
      <c r="AO12" s="106" t="s">
        <v>286</v>
      </c>
      <c r="AQ12">
        <f t="shared" si="4"/>
        <v>0.9</v>
      </c>
      <c r="AR12">
        <v>0.74</v>
      </c>
      <c r="AT12" s="148" t="s">
        <v>16</v>
      </c>
      <c r="AU12">
        <v>1.1840112780078844</v>
      </c>
      <c r="AV12" s="142">
        <v>3.5305200000000002E-4</v>
      </c>
      <c r="AW12" s="148">
        <f>AU12*$BE$16/BE12/$AU$16*1000000</f>
        <v>1.91</v>
      </c>
      <c r="AX12" s="148">
        <f>AV12*$BE$16/BE12/$AV$16*1000000</f>
        <v>0.52580331061343732</v>
      </c>
      <c r="AY12" s="148" t="s">
        <v>24</v>
      </c>
      <c r="AZ12" s="175">
        <f>AW12/AX12</f>
        <v>3.6325370370370358</v>
      </c>
      <c r="BA12">
        <f t="shared" si="0"/>
        <v>3353.6455763113772</v>
      </c>
      <c r="BB12" s="148">
        <f t="shared" si="1"/>
        <v>3.5255171631044333</v>
      </c>
      <c r="BC12">
        <f>AU12/BL12</f>
        <v>9.4720902240630747E-2</v>
      </c>
      <c r="BD12" s="148">
        <f t="shared" si="1"/>
        <v>-1.0235541738363041</v>
      </c>
      <c r="BE12">
        <v>65.38</v>
      </c>
      <c r="BF12" s="15">
        <f>AW12/BP12</f>
        <v>9.7213557562752614E-2</v>
      </c>
      <c r="BH12">
        <f>-(100-100*BL12/AV12)</f>
        <v>3540454.9324178873</v>
      </c>
      <c r="BI12">
        <f>BL12/AV12</f>
        <v>35405.549324178872</v>
      </c>
      <c r="BJ12" s="148" t="s">
        <v>16</v>
      </c>
      <c r="BK12">
        <v>7.7</v>
      </c>
      <c r="BL12">
        <v>12.5</v>
      </c>
      <c r="BM12">
        <f>BK12/BL12</f>
        <v>0.61599999999999999</v>
      </c>
      <c r="BN12">
        <f>LOG(BM12,10)</f>
        <v>-0.21041928783557454</v>
      </c>
      <c r="BO12">
        <f>BK12*$BE$16/BE12/$BK$16*1000000</f>
        <v>12.454108354567698</v>
      </c>
      <c r="BP12">
        <f>BL12*$BE$16/BE12/$BL$16*1000</f>
        <v>19.647465311276878</v>
      </c>
      <c r="BQ12" s="148" t="s">
        <v>24</v>
      </c>
      <c r="BR12">
        <f>BO12/BP12</f>
        <v>0.63387862796833772</v>
      </c>
    </row>
    <row r="13" spans="1:70" x14ac:dyDescent="0.35">
      <c r="M13">
        <v>87.62</v>
      </c>
      <c r="N13" s="148" t="s">
        <v>17</v>
      </c>
      <c r="O13" t="s">
        <v>316</v>
      </c>
      <c r="P13" t="s">
        <v>17</v>
      </c>
      <c r="S13">
        <v>1.31</v>
      </c>
      <c r="T13">
        <f t="shared" si="2"/>
        <v>1.31E-7</v>
      </c>
      <c r="U13">
        <v>1.18</v>
      </c>
      <c r="V13">
        <f>U13*10^-7</f>
        <v>1.1799999999999998E-7</v>
      </c>
      <c r="W13">
        <f>$Y$16*EXP((-4*PI()*$B$40*(6.02214076E+23)*(($V$16/2)*((V13-$V$16)^2)+(1/3)*((V13-$V$16)^3)))/(8.31446261815324*(273.15+$Y$3)))</f>
        <v>7.8092661273497548</v>
      </c>
      <c r="X13">
        <f>LOG(W13,10)</f>
        <v>0.89261022314521365</v>
      </c>
      <c r="Y13">
        <f>$Y$16*EXP((-4*PI()*$B$40*(6.02214076E+23)*(($T$16/2)*((T13-$T$16)^2)+(1/3)*((T13-$T$16)^3)))/(8.31446261815324*(273.15+$Y$3)))</f>
        <v>73.354711767744931</v>
      </c>
      <c r="Z13">
        <f t="shared" si="3"/>
        <v>1.8654280149619975</v>
      </c>
      <c r="AA13" s="13">
        <v>3.1438238732284547</v>
      </c>
      <c r="AB13">
        <v>2554.61</v>
      </c>
      <c r="AC13">
        <v>3.83</v>
      </c>
      <c r="AD13">
        <v>667</v>
      </c>
      <c r="AE13">
        <f>LOG(AD13,10)</f>
        <v>2.8241258339165487</v>
      </c>
      <c r="AF13" s="106" t="s">
        <v>325</v>
      </c>
      <c r="AG13" s="44">
        <v>2377.7602945090407</v>
      </c>
      <c r="AH13">
        <f>LOG(AG13,10)</f>
        <v>3.3761680706278341</v>
      </c>
      <c r="AI13" s="106" t="s">
        <v>285</v>
      </c>
      <c r="AJ13" s="141">
        <v>1151.3580008379381</v>
      </c>
      <c r="AK13">
        <f>LOG(AJ13,10)</f>
        <v>3.0612103832422668</v>
      </c>
      <c r="AL13" s="106" t="s">
        <v>256</v>
      </c>
      <c r="AM13" s="44">
        <v>1151.3580008379381</v>
      </c>
      <c r="AN13">
        <f>LOG(AM13,10)</f>
        <v>3.0612103832422668</v>
      </c>
      <c r="AO13" s="106" t="s">
        <v>256</v>
      </c>
      <c r="AQ13">
        <f t="shared" si="4"/>
        <v>1.31</v>
      </c>
      <c r="AR13">
        <v>1.18</v>
      </c>
      <c r="AT13" s="148" t="s">
        <v>17</v>
      </c>
      <c r="AU13">
        <v>1246.1549977543791</v>
      </c>
      <c r="AV13" s="142">
        <v>7.7981800000000003</v>
      </c>
      <c r="AW13" s="148">
        <f>AU13*$BE$16/BE13/$AU$16*1000</f>
        <v>1.5000000000000002</v>
      </c>
      <c r="AX13" s="148">
        <f>AV13*$BE$16/BE13/$AV$16*1000</f>
        <v>8.6660175267770185</v>
      </c>
      <c r="AY13" s="148" t="s">
        <v>23</v>
      </c>
      <c r="AZ13" s="175">
        <f>AW13/AX13</f>
        <v>0.1730898876404495</v>
      </c>
      <c r="BA13">
        <f t="shared" si="0"/>
        <v>159.80074809178282</v>
      </c>
      <c r="BB13" s="148">
        <f t="shared" si="1"/>
        <v>2.2035788080904428</v>
      </c>
      <c r="BC13">
        <f>AU13/BL13</f>
        <v>185.99328324692226</v>
      </c>
      <c r="BD13" s="148">
        <f t="shared" si="1"/>
        <v>2.2694972608766859</v>
      </c>
      <c r="BE13">
        <v>87.62</v>
      </c>
      <c r="BF13" s="15">
        <f>AW13/BP13</f>
        <v>0.19088784333236761</v>
      </c>
      <c r="BH13">
        <f>-(100-100*BL13/AV13)</f>
        <v>-14.082516689791731</v>
      </c>
      <c r="BI13">
        <f>BL13/AV13</f>
        <v>0.85917483310208276</v>
      </c>
      <c r="BJ13" s="148" t="s">
        <v>17</v>
      </c>
      <c r="BK13">
        <v>940</v>
      </c>
      <c r="BL13">
        <v>6.7</v>
      </c>
      <c r="BM13">
        <f>BK13/BL13</f>
        <v>140.29850746268656</v>
      </c>
      <c r="BN13">
        <f>LOG(BM13,10)</f>
        <v>2.1470530508988719</v>
      </c>
      <c r="BO13">
        <f>BK13*$BE$16/BE13/$BK$16*1000</f>
        <v>1.1344658723595955</v>
      </c>
      <c r="BP13">
        <f>BL13*$BE$16/BE13/$BL$16*1000</f>
        <v>7.8580174295764333</v>
      </c>
      <c r="BQ13" s="148" t="s">
        <v>23</v>
      </c>
      <c r="BR13">
        <f>BO13/BP13</f>
        <v>0.14437049580593078</v>
      </c>
    </row>
    <row r="14" spans="1:70" x14ac:dyDescent="0.35">
      <c r="L14" t="s">
        <v>347</v>
      </c>
      <c r="M14">
        <v>137.327</v>
      </c>
      <c r="N14" s="148" t="s">
        <v>18</v>
      </c>
      <c r="O14" t="s">
        <v>316</v>
      </c>
      <c r="P14" t="s">
        <v>18</v>
      </c>
      <c r="S14">
        <v>1.47</v>
      </c>
      <c r="T14">
        <f t="shared" si="2"/>
        <v>1.4699999999999998E-7</v>
      </c>
      <c r="Y14">
        <f>$Y$16*EXP((-4*PI()*$B$40*(6.02214076E+23)*(($T$16/2)*((T14-$T$16)^2)+(1/3)*((T14-$T$16)^3)))/(8.31446261815324*(273.15+$Y$3)))</f>
        <v>5.1827810899662939E-5</v>
      </c>
      <c r="Z14">
        <f t="shared" si="3"/>
        <v>-4.2854371344804481</v>
      </c>
      <c r="AA14" s="13">
        <v>9.9510502171493535E-3</v>
      </c>
      <c r="AB14">
        <v>12.673249999999999</v>
      </c>
      <c r="AC14">
        <v>3.1099999999999999E-3</v>
      </c>
      <c r="AD14">
        <v>4075</v>
      </c>
      <c r="AE14">
        <f>LOG(AD14,10)</f>
        <v>3.6101276130759947</v>
      </c>
      <c r="AF14" s="106" t="s">
        <v>325</v>
      </c>
      <c r="AG14" s="44">
        <v>1845.7711442786069</v>
      </c>
      <c r="AH14">
        <f>LOG(AG14,10)</f>
        <v>3.2661778521945566</v>
      </c>
      <c r="AI14" s="106" t="s">
        <v>285</v>
      </c>
      <c r="AJ14">
        <v>4075</v>
      </c>
      <c r="AK14">
        <f>LOG(AJ14,10)</f>
        <v>3.6101276130759947</v>
      </c>
      <c r="AL14" s="106" t="s">
        <v>284</v>
      </c>
      <c r="AM14" s="44">
        <v>1845.7711442786069</v>
      </c>
      <c r="AN14">
        <f>LOG(AM14,10)</f>
        <v>3.2661778521945566</v>
      </c>
      <c r="AO14" s="106" t="s">
        <v>285</v>
      </c>
      <c r="AQ14">
        <f t="shared" si="4"/>
        <v>1.47</v>
      </c>
      <c r="AT14" s="148" t="s">
        <v>18</v>
      </c>
      <c r="AU14">
        <v>7.4217845700883274</v>
      </c>
      <c r="AV14" s="142">
        <v>1.4968642999999998E-2</v>
      </c>
      <c r="BA14">
        <f t="shared" si="0"/>
        <v>495.82213765725646</v>
      </c>
      <c r="BB14" s="148">
        <f t="shared" si="1"/>
        <v>2.6953259134115419</v>
      </c>
      <c r="BJ14" s="148" t="s">
        <v>18</v>
      </c>
    </row>
    <row r="15" spans="1:70" x14ac:dyDescent="0.35">
      <c r="M15">
        <v>207.2</v>
      </c>
      <c r="N15" s="148" t="s">
        <v>19</v>
      </c>
      <c r="O15" s="152" t="s">
        <v>316</v>
      </c>
      <c r="P15" t="s">
        <v>19</v>
      </c>
      <c r="S15">
        <v>1.19</v>
      </c>
      <c r="T15">
        <f t="shared" si="2"/>
        <v>1.1899999999999999E-7</v>
      </c>
      <c r="Y15">
        <f>$Y$16*EXP((-4*PI()*$B$40*(6.02214076E+23)*(($T$16/2)*((T15-$T$16)^2)+(1/3)*((T15-$T$16)^3)))/(8.31446261815324*(273.15+$Y$3)))</f>
        <v>1807.4254092089263</v>
      </c>
      <c r="Z15">
        <f t="shared" si="3"/>
        <v>3.2570603834009262</v>
      </c>
      <c r="AA15" s="136"/>
      <c r="AQ15">
        <f t="shared" si="4"/>
        <v>1.19</v>
      </c>
      <c r="AT15" s="148" t="s">
        <v>19</v>
      </c>
      <c r="AU15">
        <v>0.17681121812465689</v>
      </c>
      <c r="AV15" s="142">
        <v>2.6935999999999999E-6</v>
      </c>
      <c r="BA15">
        <f t="shared" si="0"/>
        <v>65641.230370009245</v>
      </c>
      <c r="BB15" s="148">
        <f t="shared" si="1"/>
        <v>4.8171767128121621</v>
      </c>
      <c r="BJ15" s="148" t="s">
        <v>19</v>
      </c>
    </row>
    <row r="16" spans="1:70" x14ac:dyDescent="0.35">
      <c r="M16">
        <v>40.078000000000003</v>
      </c>
      <c r="N16" s="148" t="s">
        <v>20</v>
      </c>
      <c r="O16" t="s">
        <v>316</v>
      </c>
      <c r="P16" t="s">
        <v>20</v>
      </c>
      <c r="S16" s="8">
        <v>1.18</v>
      </c>
      <c r="T16">
        <f t="shared" si="2"/>
        <v>1.1799999999999998E-7</v>
      </c>
      <c r="U16">
        <v>1</v>
      </c>
      <c r="V16">
        <f>U16*10^-7</f>
        <v>9.9999999999999995E-8</v>
      </c>
      <c r="W16">
        <f>Y16</f>
        <v>1840</v>
      </c>
      <c r="X16">
        <f>LOG(W16,10)</f>
        <v>3.2648178230095359</v>
      </c>
      <c r="Y16" s="8">
        <v>1840</v>
      </c>
      <c r="Z16">
        <f t="shared" si="3"/>
        <v>3.2648178230095359</v>
      </c>
      <c r="AA16" s="52"/>
      <c r="AB16">
        <v>371680</v>
      </c>
      <c r="AC16">
        <v>202</v>
      </c>
      <c r="AD16">
        <v>1840</v>
      </c>
      <c r="AE16">
        <f>LOG(AD16,10)</f>
        <v>3.2648178230095359</v>
      </c>
      <c r="AF16" s="106" t="s">
        <v>325</v>
      </c>
      <c r="AG16" s="44">
        <v>1845.7711442786069</v>
      </c>
      <c r="AH16">
        <f>LOG(AG16,10)</f>
        <v>3.2661778521945566</v>
      </c>
      <c r="AI16" s="106" t="s">
        <v>285</v>
      </c>
      <c r="AJ16">
        <v>1840</v>
      </c>
      <c r="AK16">
        <f>LOG(AJ16,10)</f>
        <v>3.2648178230095359</v>
      </c>
      <c r="AL16" s="106" t="s">
        <v>284</v>
      </c>
      <c r="AM16" s="44">
        <v>1845.7711442786069</v>
      </c>
      <c r="AN16">
        <f>LOG(AM16,10)</f>
        <v>3.2661778521945566</v>
      </c>
      <c r="AO16" s="106" t="s">
        <v>285</v>
      </c>
      <c r="AQ16">
        <f t="shared" si="4"/>
        <v>1.18</v>
      </c>
      <c r="AR16">
        <v>1</v>
      </c>
      <c r="AT16" s="148" t="s">
        <v>20</v>
      </c>
      <c r="AU16">
        <v>380000</v>
      </c>
      <c r="AV16" s="142">
        <v>411.60106000000002</v>
      </c>
      <c r="AW16" s="148">
        <f>AU16*$BE$16/BE16/$AU$16*1000</f>
        <v>1000</v>
      </c>
      <c r="AX16" s="148">
        <f>AV16*$BE$16/BE16/$AV$16*1000</f>
        <v>1000</v>
      </c>
      <c r="AY16" s="148" t="s">
        <v>23</v>
      </c>
      <c r="AZ16" s="148">
        <f>AW16/AX16</f>
        <v>1</v>
      </c>
      <c r="BA16">
        <f t="shared" si="0"/>
        <v>923.22405583697957</v>
      </c>
      <c r="BB16" s="148">
        <f t="shared" si="1"/>
        <v>2.9653071120823959</v>
      </c>
      <c r="BC16">
        <f>AU16/BL16</f>
        <v>974.35897435897436</v>
      </c>
      <c r="BD16" s="148">
        <f t="shared" si="1"/>
        <v>2.9887189895903106</v>
      </c>
      <c r="BE16">
        <v>40.078000000000003</v>
      </c>
      <c r="BF16">
        <f>AW16/BP16</f>
        <v>1</v>
      </c>
      <c r="BJ16" s="148" t="s">
        <v>20</v>
      </c>
      <c r="BK16">
        <v>379000</v>
      </c>
      <c r="BL16">
        <v>390</v>
      </c>
      <c r="BM16">
        <f>BK16/BL16</f>
        <v>971.79487179487182</v>
      </c>
      <c r="BN16">
        <f>LOG(BM16,10)</f>
        <v>2.9875746029415726</v>
      </c>
      <c r="BO16">
        <f>BK16*$BE$16/BE16/$BK$16*1000</f>
        <v>1000</v>
      </c>
      <c r="BP16">
        <f>BL16*$BE$16/BE16/$BL$16*1000</f>
        <v>1000</v>
      </c>
      <c r="BQ16" s="148" t="s">
        <v>23</v>
      </c>
      <c r="BR16">
        <f>BO16/BP16</f>
        <v>1</v>
      </c>
    </row>
    <row r="17" spans="13:66" x14ac:dyDescent="0.35">
      <c r="M17" s="6">
        <v>6.9409999999999998</v>
      </c>
      <c r="N17" s="67" t="s">
        <v>55</v>
      </c>
      <c r="O17" s="89" t="s">
        <v>317</v>
      </c>
      <c r="P17" s="67"/>
      <c r="Q17" s="67">
        <v>0.92</v>
      </c>
      <c r="R17" s="67"/>
      <c r="S17" s="67"/>
      <c r="T17" s="67"/>
      <c r="U17" s="67"/>
      <c r="V17" s="67"/>
      <c r="W17" s="67"/>
      <c r="X17" s="67"/>
      <c r="Y17" s="67"/>
      <c r="Z17" s="67"/>
      <c r="AD17">
        <v>0.30762687158392304</v>
      </c>
      <c r="AE17" s="67">
        <f>LOG(AD17,10)</f>
        <v>-0.51197573105883587</v>
      </c>
      <c r="AF17" s="106" t="s">
        <v>290</v>
      </c>
      <c r="AG17">
        <v>0.30762687158392304</v>
      </c>
      <c r="AH17" s="67">
        <f>LOG(AG17,10)</f>
        <v>-0.51197573105883587</v>
      </c>
      <c r="AI17" s="106" t="s">
        <v>290</v>
      </c>
      <c r="AJ17">
        <v>0.30762687158392304</v>
      </c>
      <c r="AK17" s="67">
        <f>LOG(AJ17,10)</f>
        <v>-0.51197573105883587</v>
      </c>
      <c r="AL17" s="106" t="s">
        <v>290</v>
      </c>
      <c r="AM17">
        <v>0.30762687158392304</v>
      </c>
      <c r="AN17" s="67">
        <f>LOG(AM17,10)</f>
        <v>-0.51197573105883587</v>
      </c>
      <c r="AO17" s="106" t="s">
        <v>298</v>
      </c>
      <c r="AQ17">
        <f>Q17</f>
        <v>0.92</v>
      </c>
      <c r="BB17" s="67"/>
      <c r="BJ17" s="67" t="s">
        <v>55</v>
      </c>
      <c r="BK17">
        <v>0.2</v>
      </c>
      <c r="BL17">
        <v>0.2</v>
      </c>
      <c r="BM17">
        <f>BK17/BL17</f>
        <v>1</v>
      </c>
      <c r="BN17">
        <f>LOG(BM17,10)</f>
        <v>0</v>
      </c>
    </row>
    <row r="18" spans="13:66" x14ac:dyDescent="0.35">
      <c r="N18" s="149" t="s">
        <v>327</v>
      </c>
      <c r="O18" s="151"/>
      <c r="P18" s="151"/>
      <c r="Q18" s="151"/>
      <c r="R18" s="151"/>
      <c r="S18" s="151">
        <v>0.5</v>
      </c>
      <c r="T18" s="151">
        <f>S18*10^-7</f>
        <v>4.9999999999999998E-8</v>
      </c>
      <c r="U18" s="151">
        <v>0.5</v>
      </c>
      <c r="V18" s="151">
        <f>U18*10^-7</f>
        <v>4.9999999999999998E-8</v>
      </c>
      <c r="W18" s="151">
        <f>$Y$16*EXP((-4*PI()*$B$40*(6.02214076E+23)*(($V$16/2)*((V18-$V$16)^2)+(1/3)*((V18-$V$16)^3)))/(8.31446261815324*(273.15+$Y$3)))</f>
        <v>2.3417335269144168E-8</v>
      </c>
      <c r="X18" s="151">
        <f>LOG(W18,10)</f>
        <v>-7.6304625261615655</v>
      </c>
      <c r="Y18" s="151">
        <f>$Y$16*EXP((-4*PI()*$B$40*(6.02214076E+23)*(($T$16/2)*((T18-$T$16)^2)+(1/3)*((T18-$T$16)^3)))/(8.31446261815324*(273.15+$Y$3)))</f>
        <v>1.9917523632597762E-19</v>
      </c>
      <c r="Z18" s="151">
        <f>LOG(Y18,10)</f>
        <v>-18.70076465886174</v>
      </c>
      <c r="AE18" s="151"/>
      <c r="AH18" s="151"/>
      <c r="AK18" s="151"/>
      <c r="AN18" s="151"/>
      <c r="BB18" s="151"/>
      <c r="BJ18" s="149" t="s">
        <v>327</v>
      </c>
    </row>
    <row r="19" spans="13:66" x14ac:dyDescent="0.35">
      <c r="N19" s="149" t="s">
        <v>327</v>
      </c>
      <c r="O19" s="151"/>
      <c r="P19" s="151"/>
      <c r="Q19" s="151"/>
      <c r="R19" s="151"/>
      <c r="S19" s="151">
        <v>1.65</v>
      </c>
      <c r="T19" s="151">
        <f>S19*10^-7</f>
        <v>1.6499999999999998E-7</v>
      </c>
      <c r="U19" s="151">
        <v>1.65</v>
      </c>
      <c r="V19" s="151">
        <f>U19*10^-7</f>
        <v>1.6499999999999998E-7</v>
      </c>
      <c r="W19" s="151">
        <f>$Y$16*EXP((-4*PI()*$B$40*(6.02214076E+23)*(($V$16/2)*((V19-$V$16)^2)+(1/3)*((V19-$V$16)^3)))/(8.31446261815324*(273.15+$Y$3)))</f>
        <v>4.7513461833934927E-37</v>
      </c>
      <c r="X19" s="151">
        <f>LOG(W19,10)</f>
        <v>-36.323183325703653</v>
      </c>
      <c r="Y19" s="151">
        <f>$Y$16*EXP((-4*PI()*$B$40*(6.02214076E+23)*(($T$16/2)*((T19-$T$16)^2)+(1/3)*((T19-$T$16)^3)))/(8.31446261815324*(273.15+$Y$3)))</f>
        <v>5.0139691556432097E-19</v>
      </c>
      <c r="Z19" s="151">
        <f>LOG(Y19,10)</f>
        <v>-18.299818342012255</v>
      </c>
      <c r="AE19" s="151"/>
      <c r="AH19" s="151"/>
      <c r="AK19" s="151"/>
      <c r="AN19" s="151"/>
      <c r="BB19" s="151"/>
      <c r="BJ19" s="149" t="s">
        <v>327</v>
      </c>
    </row>
    <row r="20" spans="13:66" x14ac:dyDescent="0.35">
      <c r="N20" t="s">
        <v>344</v>
      </c>
      <c r="O20" t="s">
        <v>332</v>
      </c>
      <c r="S20">
        <v>0.73</v>
      </c>
      <c r="T20">
        <f>S20*10^-7</f>
        <v>7.2999999999999992E-8</v>
      </c>
      <c r="U20">
        <v>0.73</v>
      </c>
      <c r="V20">
        <f>U20*10^-7</f>
        <v>7.2999999999999992E-8</v>
      </c>
      <c r="W20">
        <f>$Y$16*EXP((-4*PI()*$B$40*(6.02214076E+23)*(($V$16/2)*((V20-$V$16)^2)+(1/3)*((V20-$V$16)^3)))/(8.31446261815324*(273.15+$Y$3)))</f>
        <v>0.22752515072148469</v>
      </c>
      <c r="X20">
        <f>LOG(W20,10)</f>
        <v>-0.64297058926696538</v>
      </c>
      <c r="Y20">
        <f>$Y$16*EXP((-4*PI()*$B$40*(6.02214076E+23)*(($T$16/2)*((T20-$T$16)^2)+(1/3)*((T20-$T$16)^3)))/(8.31446261815324*(273.15+$Y$3)))</f>
        <v>4.1265211338406602E-9</v>
      </c>
      <c r="Z20">
        <f>LOG(Y20,10)</f>
        <v>-8.384415926324202</v>
      </c>
      <c r="AQ20">
        <v>0.73</v>
      </c>
      <c r="AR20">
        <v>0.73</v>
      </c>
      <c r="BJ20" t="s">
        <v>344</v>
      </c>
      <c r="BK20">
        <v>0.4</v>
      </c>
      <c r="BL20">
        <v>0.19</v>
      </c>
      <c r="BM20">
        <f>BK20/BL20</f>
        <v>2.1052631578947367</v>
      </c>
      <c r="BN20">
        <f>LOG(BM20,10)</f>
        <v>0.32330639037513337</v>
      </c>
    </row>
    <row r="21" spans="13:66" x14ac:dyDescent="0.35">
      <c r="N21" t="s">
        <v>345</v>
      </c>
      <c r="O21" t="s">
        <v>317</v>
      </c>
      <c r="S21">
        <v>0.92</v>
      </c>
      <c r="T21">
        <f>S21*10^-7</f>
        <v>9.2000000000000003E-8</v>
      </c>
      <c r="U21">
        <v>0.78</v>
      </c>
      <c r="V21">
        <f>U21*10^-7</f>
        <v>7.7999999999999997E-8</v>
      </c>
      <c r="W21">
        <f>$Y$16*EXP((-4*PI()*$B$40*(6.02214076E+23)*(($V$16/2)*((V21-$V$16)^2)+(1/3)*((V21-$V$16)^3)))/(8.31446261815324*(273.15+$Y$3)))</f>
        <v>3.6718099151042956</v>
      </c>
      <c r="X21">
        <f>LOG(W21,10)</f>
        <v>0.56488019024214386</v>
      </c>
      <c r="Y21">
        <f>$Y$16*EXP((-4*PI()*$B$40*(6.02214076E+23)*(($T$16/2)*((T21-$T$16)^2)+(1/3)*((T21-$T$16)^3)))/(8.31446261815324*(273.15+$Y$3)))</f>
        <v>6.5498488103470781E-2</v>
      </c>
      <c r="Z21">
        <f>LOG(Y21,10)</f>
        <v>-1.1837687246784154</v>
      </c>
      <c r="AQ21">
        <v>0.92</v>
      </c>
      <c r="AR21">
        <v>0.78</v>
      </c>
      <c r="BJ21" t="s">
        <v>345</v>
      </c>
      <c r="BK21">
        <v>5.5</v>
      </c>
      <c r="BL21">
        <v>0.71</v>
      </c>
      <c r="BM21">
        <f>BK21/BL21</f>
        <v>7.746478873239437</v>
      </c>
      <c r="BN21">
        <f>LOG(BM21,10)</f>
        <v>0.88910434077516842</v>
      </c>
    </row>
    <row r="23" spans="13:66" x14ac:dyDescent="0.35">
      <c r="W23" t="s">
        <v>323</v>
      </c>
      <c r="X23" t="s">
        <v>323</v>
      </c>
      <c r="Y23" t="s">
        <v>10</v>
      </c>
      <c r="Z23" t="s">
        <v>11</v>
      </c>
      <c r="AA23" t="s">
        <v>12</v>
      </c>
      <c r="AB23" t="s">
        <v>13</v>
      </c>
      <c r="AC23" t="s">
        <v>14</v>
      </c>
      <c r="AD23" t="s">
        <v>335</v>
      </c>
      <c r="AE23" t="s">
        <v>16</v>
      </c>
      <c r="AF23" t="s">
        <v>17</v>
      </c>
      <c r="AG23" t="s">
        <v>18</v>
      </c>
      <c r="AH23" t="s">
        <v>19</v>
      </c>
      <c r="AI23" t="s">
        <v>20</v>
      </c>
      <c r="AJ23" t="s">
        <v>55</v>
      </c>
    </row>
    <row r="24" spans="13:66" x14ac:dyDescent="0.35">
      <c r="W24" t="s">
        <v>338</v>
      </c>
      <c r="X24">
        <v>3</v>
      </c>
      <c r="Y24">
        <v>0.01</v>
      </c>
    </row>
    <row r="25" spans="13:66" x14ac:dyDescent="0.35">
      <c r="W25" t="s">
        <v>333</v>
      </c>
      <c r="X25">
        <v>4</v>
      </c>
      <c r="Y25">
        <v>0.11</v>
      </c>
      <c r="AA25">
        <v>0.56999999999999995</v>
      </c>
      <c r="AB25">
        <v>0.39</v>
      </c>
      <c r="AD25">
        <v>0.66</v>
      </c>
      <c r="AE25">
        <v>0.6</v>
      </c>
      <c r="AJ25">
        <v>0.59</v>
      </c>
    </row>
    <row r="26" spans="13:66" x14ac:dyDescent="0.35">
      <c r="W26" t="s">
        <v>334</v>
      </c>
      <c r="X26">
        <v>5</v>
      </c>
      <c r="Y26">
        <v>0.27</v>
      </c>
      <c r="AA26">
        <v>0.66</v>
      </c>
      <c r="AB26">
        <v>0.48</v>
      </c>
      <c r="AD26">
        <v>0.75</v>
      </c>
      <c r="AE26">
        <v>0.68</v>
      </c>
    </row>
    <row r="27" spans="13:66" x14ac:dyDescent="0.35">
      <c r="W27" t="s">
        <v>332</v>
      </c>
      <c r="X27" s="9">
        <v>6</v>
      </c>
      <c r="Y27" s="1">
        <f>0.13*X27-0.39</f>
        <v>0.39</v>
      </c>
      <c r="Z27">
        <v>1.02</v>
      </c>
      <c r="AA27" s="150">
        <v>0.72</v>
      </c>
      <c r="AB27">
        <v>0.53500000000000003</v>
      </c>
      <c r="AC27">
        <v>1.38</v>
      </c>
      <c r="AD27">
        <v>0.83</v>
      </c>
      <c r="AE27">
        <v>0.74</v>
      </c>
      <c r="AF27">
        <v>1.18</v>
      </c>
      <c r="AG27">
        <v>1.35</v>
      </c>
      <c r="AH27">
        <v>1.35</v>
      </c>
      <c r="AI27">
        <v>1</v>
      </c>
      <c r="AJ27">
        <v>0.76</v>
      </c>
    </row>
    <row r="28" spans="13:66" x14ac:dyDescent="0.35">
      <c r="W28" t="s">
        <v>336</v>
      </c>
      <c r="X28" s="9">
        <v>7</v>
      </c>
      <c r="AD28">
        <v>0.9</v>
      </c>
    </row>
    <row r="29" spans="13:66" x14ac:dyDescent="0.35">
      <c r="W29" t="s">
        <v>317</v>
      </c>
      <c r="X29">
        <v>8</v>
      </c>
      <c r="AA29">
        <v>0.89</v>
      </c>
      <c r="AD29">
        <v>0.96</v>
      </c>
      <c r="AE29">
        <v>0.9</v>
      </c>
      <c r="AJ29">
        <v>0.92</v>
      </c>
    </row>
    <row r="30" spans="13:66" x14ac:dyDescent="0.35">
      <c r="W30" s="1" t="s">
        <v>316</v>
      </c>
      <c r="X30" s="1">
        <v>9</v>
      </c>
      <c r="Y30" s="1">
        <f>0.13*X30-0.39</f>
        <v>0.77999999999999992</v>
      </c>
      <c r="Z30">
        <v>1.24</v>
      </c>
      <c r="AA30" s="1">
        <f>0.0789*X30+0.2566</f>
        <v>0.96669999999999989</v>
      </c>
      <c r="AB30" s="1">
        <f>0.0725*X30+0.1058</f>
        <v>0.75829999999999997</v>
      </c>
      <c r="AC30">
        <v>1.55</v>
      </c>
      <c r="AD30" s="1">
        <f>0.075*X30+0.37</f>
        <v>1.0449999999999999</v>
      </c>
      <c r="AE30" s="1">
        <f>0.0743*X30+0.3029</f>
        <v>0.97160000000000002</v>
      </c>
      <c r="AF30">
        <v>1.31</v>
      </c>
      <c r="AG30">
        <v>1.47</v>
      </c>
      <c r="AH30">
        <v>1.19</v>
      </c>
      <c r="AI30">
        <v>1.18</v>
      </c>
      <c r="AJ30" s="1">
        <f>0.0825*X30+0.2617</f>
        <v>1.0042</v>
      </c>
    </row>
    <row r="40" spans="2:13" x14ac:dyDescent="0.35">
      <c r="B40" s="8">
        <v>92</v>
      </c>
      <c r="C40" s="146" t="s">
        <v>303</v>
      </c>
      <c r="D40" t="s">
        <v>304</v>
      </c>
      <c r="E40" t="s">
        <v>305</v>
      </c>
      <c r="I40" t="s">
        <v>349</v>
      </c>
    </row>
    <row r="41" spans="2:13" ht="16.5" x14ac:dyDescent="0.45">
      <c r="C41" s="146" t="s">
        <v>308</v>
      </c>
      <c r="D41" t="s">
        <v>306</v>
      </c>
      <c r="E41" t="s">
        <v>307</v>
      </c>
      <c r="G41" t="s">
        <v>339</v>
      </c>
    </row>
    <row r="42" spans="2:13" ht="16.5" x14ac:dyDescent="0.45">
      <c r="C42" s="146" t="s">
        <v>309</v>
      </c>
      <c r="D42" t="s">
        <v>319</v>
      </c>
    </row>
    <row r="43" spans="2:13" x14ac:dyDescent="0.35">
      <c r="C43" s="146" t="s">
        <v>310</v>
      </c>
      <c r="D43" t="s">
        <v>311</v>
      </c>
    </row>
    <row r="48" spans="2:13" x14ac:dyDescent="0.35">
      <c r="M48" s="68" t="s">
        <v>367</v>
      </c>
    </row>
    <row r="49" spans="3:13" x14ac:dyDescent="0.35">
      <c r="M49" s="165" t="s">
        <v>370</v>
      </c>
    </row>
    <row r="50" spans="3:13" x14ac:dyDescent="0.35">
      <c r="M50" s="166" t="s">
        <v>369</v>
      </c>
    </row>
    <row r="51" spans="3:13" x14ac:dyDescent="0.35">
      <c r="C51" t="s">
        <v>313</v>
      </c>
      <c r="M51" s="64" t="s">
        <v>368</v>
      </c>
    </row>
    <row r="52" spans="3:13" x14ac:dyDescent="0.35">
      <c r="C52" t="s">
        <v>314</v>
      </c>
      <c r="M52" s="106" t="s">
        <v>371</v>
      </c>
    </row>
    <row r="53" spans="3:13" x14ac:dyDescent="0.35">
      <c r="M53" t="s">
        <v>372</v>
      </c>
    </row>
    <row r="72" spans="3:13" x14ac:dyDescent="0.35">
      <c r="C72" s="106" t="s">
        <v>123</v>
      </c>
    </row>
    <row r="73" spans="3:13" x14ac:dyDescent="0.35">
      <c r="C73" t="s">
        <v>352</v>
      </c>
    </row>
    <row r="74" spans="3:13" x14ac:dyDescent="0.35">
      <c r="C74" t="s">
        <v>353</v>
      </c>
    </row>
    <row r="77" spans="3:13" x14ac:dyDescent="0.35">
      <c r="C77" s="2" t="s">
        <v>32</v>
      </c>
      <c r="D77" s="2" t="s">
        <v>322</v>
      </c>
      <c r="E77" t="s">
        <v>351</v>
      </c>
      <c r="F77" s="27" t="s">
        <v>357</v>
      </c>
      <c r="G77" t="s">
        <v>358</v>
      </c>
      <c r="H77" t="s">
        <v>350</v>
      </c>
      <c r="I77" t="s">
        <v>354</v>
      </c>
      <c r="J77" t="s">
        <v>355</v>
      </c>
      <c r="K77" t="s">
        <v>360</v>
      </c>
      <c r="L77" t="s">
        <v>361</v>
      </c>
      <c r="M77" t="s">
        <v>356</v>
      </c>
    </row>
    <row r="78" spans="3:13" x14ac:dyDescent="0.35">
      <c r="C78" s="2">
        <f t="shared" ref="C78:C85" si="5">273.15+D78</f>
        <v>278.14999999999998</v>
      </c>
      <c r="D78" s="2">
        <v>5</v>
      </c>
      <c r="E78">
        <f>EXP((605/C78)-1.89)</f>
        <v>1.3298755754755041</v>
      </c>
      <c r="F78" s="27">
        <v>1840</v>
      </c>
      <c r="G78">
        <f>F78*EXP((-4*PI()*$B$40*(6.02214076E+23)*(($T$16/2)*(($T$13-$T$16)^2)+(1/3)*(($T$13-$T$16)^3)))/(8.31446261815324*(273.15+D78)))</f>
        <v>73.354711767744931</v>
      </c>
      <c r="H78">
        <f>G78/F78</f>
        <v>3.9866691178122242E-2</v>
      </c>
      <c r="I78">
        <f>E78*(K78*40.078/87.62/L78*1000)</f>
        <v>11.533502296836744</v>
      </c>
      <c r="J78">
        <f>H78*(K78*40.078/87.62/L78*1000)</f>
        <v>0.34574856682043298</v>
      </c>
      <c r="K78">
        <v>3.83</v>
      </c>
      <c r="L78">
        <v>202</v>
      </c>
      <c r="M78">
        <f>K78*40.078/87.62/L78*1000</f>
        <v>8.6726175813198765</v>
      </c>
    </row>
    <row r="79" spans="3:13" x14ac:dyDescent="0.35">
      <c r="C79" s="2">
        <f t="shared" si="5"/>
        <v>288.14999999999998</v>
      </c>
      <c r="D79" s="2">
        <v>15</v>
      </c>
      <c r="E79">
        <f t="shared" ref="E79:E85" si="6">EXP((605/C79)-1.89)</f>
        <v>1.2331858001265439</v>
      </c>
      <c r="F79" s="27">
        <v>1961</v>
      </c>
      <c r="G79">
        <f t="shared" ref="G79:G85" si="7">F79*EXP((-4*PI()*$B$40*(6.02214076E+23)*(($T$16/2)*(($T$13-$T$16)^2)+(1/3)*(($T$13-$T$16)^3)))/(8.31446261815324*(273.15+D79)))</f>
        <v>87.428376821035727</v>
      </c>
      <c r="H79">
        <f t="shared" ref="H79:H84" si="8">G79/F79</f>
        <v>4.4583567986249732E-2</v>
      </c>
      <c r="I79">
        <f t="shared" ref="I79:I85" si="9">E79*(K79*40.078/87.62/L79*1000)</f>
        <v>9.4291930481979893</v>
      </c>
      <c r="J79">
        <f t="shared" ref="J79:J85" si="10">H79*(K79*40.078/87.62/L79*1000)</f>
        <v>0.34089515892631117</v>
      </c>
      <c r="K79">
        <v>3.36</v>
      </c>
      <c r="L79">
        <v>201</v>
      </c>
      <c r="M79">
        <f t="shared" ref="M79:M85" si="11">K79*40.078/87.62/L79*1000</f>
        <v>7.646206311514784</v>
      </c>
    </row>
    <row r="80" spans="3:13" x14ac:dyDescent="0.35">
      <c r="C80" s="2">
        <f t="shared" si="5"/>
        <v>298.14999999999998</v>
      </c>
      <c r="D80" s="2">
        <v>25</v>
      </c>
      <c r="E80">
        <f t="shared" si="6"/>
        <v>1.1493308954256616</v>
      </c>
      <c r="F80" s="27">
        <v>2307</v>
      </c>
      <c r="G80">
        <f t="shared" si="7"/>
        <v>114.16403624543337</v>
      </c>
      <c r="H80">
        <f t="shared" si="8"/>
        <v>4.9485928151466567E-2</v>
      </c>
      <c r="I80">
        <f t="shared" si="9"/>
        <v>9.2537605714253655</v>
      </c>
      <c r="J80">
        <f t="shared" si="10"/>
        <v>0.39843262944639835</v>
      </c>
      <c r="K80">
        <v>3.01</v>
      </c>
      <c r="L80">
        <v>171</v>
      </c>
      <c r="M80">
        <f t="shared" si="11"/>
        <v>8.0514328886966702</v>
      </c>
    </row>
    <row r="81" spans="3:13" x14ac:dyDescent="0.35">
      <c r="C81" s="2">
        <f t="shared" si="5"/>
        <v>308.14999999999998</v>
      </c>
      <c r="D81" s="2">
        <v>35</v>
      </c>
      <c r="E81">
        <f t="shared" si="6"/>
        <v>1.0760850994262936</v>
      </c>
      <c r="F81" s="27">
        <v>2366</v>
      </c>
      <c r="G81">
        <f t="shared" si="7"/>
        <v>129.08113775180459</v>
      </c>
      <c r="H81">
        <f t="shared" si="8"/>
        <v>5.4556693893408531E-2</v>
      </c>
      <c r="I81">
        <f t="shared" si="9"/>
        <v>8.8420749811325301</v>
      </c>
      <c r="J81">
        <f t="shared" si="10"/>
        <v>0.44828645837155284</v>
      </c>
      <c r="K81">
        <v>3</v>
      </c>
      <c r="L81">
        <v>167</v>
      </c>
      <c r="M81">
        <f t="shared" si="11"/>
        <v>8.2168919408387069</v>
      </c>
    </row>
    <row r="82" spans="3:13" x14ac:dyDescent="0.35">
      <c r="C82" s="2">
        <f t="shared" si="5"/>
        <v>318.14999999999998</v>
      </c>
      <c r="D82" s="2">
        <v>45</v>
      </c>
      <c r="E82">
        <f t="shared" si="6"/>
        <v>1.0116864929565048</v>
      </c>
      <c r="F82" s="27">
        <v>2385</v>
      </c>
      <c r="G82">
        <f t="shared" si="7"/>
        <v>142.57371287974803</v>
      </c>
      <c r="H82">
        <f t="shared" si="8"/>
        <v>5.9779334540774852E-2</v>
      </c>
      <c r="I82">
        <f t="shared" si="9"/>
        <v>8.4466263775994435</v>
      </c>
      <c r="J82">
        <f t="shared" si="10"/>
        <v>0.49910096406630478</v>
      </c>
      <c r="K82">
        <v>3.03</v>
      </c>
      <c r="L82">
        <v>166</v>
      </c>
      <c r="M82">
        <f t="shared" si="11"/>
        <v>8.3490552027787004</v>
      </c>
    </row>
    <row r="83" spans="3:13" x14ac:dyDescent="0.35">
      <c r="C83" s="2">
        <f t="shared" si="5"/>
        <v>328.15</v>
      </c>
      <c r="D83" s="2">
        <v>55</v>
      </c>
      <c r="E83">
        <f t="shared" si="6"/>
        <v>0.9547259469643834</v>
      </c>
      <c r="F83" s="27">
        <v>2459</v>
      </c>
      <c r="G83">
        <f t="shared" si="7"/>
        <v>160.17429706799339</v>
      </c>
      <c r="H83">
        <f t="shared" si="8"/>
        <v>6.5137981727528826E-2</v>
      </c>
      <c r="I83">
        <f t="shared" si="9"/>
        <v>8.3813527848611606</v>
      </c>
      <c r="J83">
        <f t="shared" si="10"/>
        <v>0.57183363067498771</v>
      </c>
      <c r="K83">
        <v>3.09</v>
      </c>
      <c r="L83">
        <v>161</v>
      </c>
      <c r="M83">
        <f t="shared" si="11"/>
        <v>8.7788048617618983</v>
      </c>
    </row>
    <row r="84" spans="3:13" x14ac:dyDescent="0.35">
      <c r="C84" s="2">
        <f t="shared" si="5"/>
        <v>338.15</v>
      </c>
      <c r="D84" s="2">
        <v>65</v>
      </c>
      <c r="E84">
        <f t="shared" si="6"/>
        <v>0.9040657656083011</v>
      </c>
      <c r="F84" s="27">
        <v>2558</v>
      </c>
      <c r="G84">
        <f t="shared" si="7"/>
        <v>180.63958663694117</v>
      </c>
      <c r="H84">
        <f t="shared" si="8"/>
        <v>7.0617508458538383E-2</v>
      </c>
      <c r="I84">
        <f t="shared" si="9"/>
        <v>8.1899629042953279</v>
      </c>
      <c r="J84">
        <f t="shared" si="10"/>
        <v>0.6397264410073582</v>
      </c>
      <c r="K84">
        <v>3.05</v>
      </c>
      <c r="L84">
        <v>154</v>
      </c>
      <c r="M84">
        <f t="shared" si="11"/>
        <v>9.0590344373727145</v>
      </c>
    </row>
    <row r="85" spans="3:13" x14ac:dyDescent="0.35">
      <c r="C85" s="2">
        <f t="shared" si="5"/>
        <v>348.15</v>
      </c>
      <c r="D85" s="2">
        <v>75</v>
      </c>
      <c r="E85">
        <f t="shared" si="6"/>
        <v>0.85877932638868026</v>
      </c>
      <c r="F85" s="27">
        <v>2303</v>
      </c>
      <c r="G85">
        <f t="shared" si="7"/>
        <v>175.49684263006668</v>
      </c>
      <c r="H85">
        <f>G85/F85</f>
        <v>7.6203579083832684E-2</v>
      </c>
      <c r="I85">
        <f t="shared" si="9"/>
        <v>8.0846121176167429</v>
      </c>
      <c r="J85">
        <f t="shared" si="10"/>
        <v>0.71738613161268117</v>
      </c>
      <c r="K85">
        <v>3.54</v>
      </c>
      <c r="L85">
        <v>172</v>
      </c>
      <c r="M85">
        <f t="shared" si="11"/>
        <v>9.4140739875678818</v>
      </c>
    </row>
    <row r="87" spans="3:13" x14ac:dyDescent="0.35">
      <c r="C87" t="s">
        <v>337</v>
      </c>
      <c r="D87" s="2">
        <v>15</v>
      </c>
      <c r="E87">
        <f>Metadata!V11</f>
        <v>0.17308988764044944</v>
      </c>
      <c r="F87">
        <f>F79</f>
        <v>1961</v>
      </c>
      <c r="G87">
        <f>G79</f>
        <v>87.428376821035727</v>
      </c>
      <c r="H87">
        <f>G87/F87</f>
        <v>4.4583567986249732E-2</v>
      </c>
      <c r="I87">
        <f>E87*(K87*40.078/87.62/L87*1000)</f>
        <v>1.4999999999999998</v>
      </c>
      <c r="J87">
        <f>H87*(K87*40.078/87.62/L87*1000)</f>
        <v>0.38636198157509499</v>
      </c>
      <c r="K87">
        <f>Metadata!H11</f>
        <v>7.7981800000000003</v>
      </c>
      <c r="L87">
        <f>Metadata!H3</f>
        <v>411.60106000000002</v>
      </c>
      <c r="M87" s="2">
        <f>Metadata!F11</f>
        <v>8.6660175267770203</v>
      </c>
    </row>
    <row r="88" spans="3:13" x14ac:dyDescent="0.35">
      <c r="D88" s="2"/>
      <c r="M88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1523-7E73-4F68-904A-02D3BD6D669D}">
  <dimension ref="A1:EQ163"/>
  <sheetViews>
    <sheetView zoomScaleNormal="100" workbookViewId="0">
      <selection activeCell="I11" sqref="I11:J11"/>
    </sheetView>
  </sheetViews>
  <sheetFormatPr defaultRowHeight="14.5" x14ac:dyDescent="0.35"/>
  <cols>
    <col min="1" max="1" width="15.81640625" customWidth="1"/>
    <col min="6" max="6" width="10.453125" customWidth="1"/>
    <col min="7" max="7" width="6.81640625" style="2" customWidth="1"/>
    <col min="8" max="8" width="15.453125" bestFit="1" customWidth="1"/>
    <col min="9" max="9" width="8.7265625" style="2"/>
    <col min="11" max="11" width="9.54296875" customWidth="1"/>
    <col min="12" max="12" width="8.7265625" style="2"/>
    <col min="13" max="13" width="8.7265625" style="14"/>
    <col min="14" max="16" width="8.7265625" style="2"/>
    <col min="17" max="17" width="12.453125" bestFit="1" customWidth="1"/>
    <col min="18" max="18" width="10.81640625" bestFit="1" customWidth="1"/>
    <col min="19" max="19" width="9.81640625" bestFit="1" customWidth="1"/>
    <col min="20" max="20" width="10" bestFit="1" customWidth="1"/>
    <col min="21" max="22" width="12.6328125" customWidth="1"/>
    <col min="24" max="24" width="8.7265625" style="18"/>
    <col min="25" max="25" width="10.54296875" customWidth="1"/>
    <col min="26" max="26" width="9.08984375" style="15" customWidth="1"/>
    <col min="31" max="31" width="11.90625" bestFit="1" customWidth="1"/>
    <col min="34" max="34" width="9" style="11" bestFit="1" customWidth="1"/>
    <col min="35" max="35" width="9" style="13" bestFit="1" customWidth="1"/>
    <col min="36" max="36" width="10" style="38" bestFit="1" customWidth="1"/>
    <col min="37" max="37" width="10.81640625" style="13" bestFit="1" customWidth="1"/>
    <col min="55" max="55" width="8.7265625" style="162"/>
    <col min="56" max="56" width="8.7265625" style="79" customWidth="1"/>
    <col min="57" max="57" width="15.453125" style="79" customWidth="1"/>
    <col min="58" max="58" width="15.26953125" style="79" customWidth="1"/>
    <col min="59" max="59" width="9.90625" style="79" customWidth="1"/>
    <col min="60" max="60" width="24.453125" style="79" customWidth="1"/>
    <col min="61" max="61" width="21.453125" style="79" bestFit="1" customWidth="1"/>
    <col min="62" max="62" width="8.54296875" style="79" customWidth="1"/>
    <col min="63" max="63" width="6.81640625" style="79" bestFit="1" customWidth="1"/>
    <col min="64" max="64" width="5.7265625" style="79" bestFit="1" customWidth="1"/>
    <col min="65" max="65" width="10.90625" style="79" bestFit="1" customWidth="1"/>
    <col min="66" max="66" width="9.6328125" style="79" bestFit="1" customWidth="1"/>
    <col min="67" max="67" width="8.453125" style="79" customWidth="1"/>
    <col min="68" max="69" width="7.90625" style="79" bestFit="1" customWidth="1"/>
    <col min="70" max="70" width="10.90625" style="79" customWidth="1"/>
    <col min="73" max="73" width="8.7265625" style="162"/>
    <col min="75" max="75" width="15" customWidth="1"/>
    <col min="76" max="76" width="16.36328125" customWidth="1"/>
    <col min="77" max="77" width="16.1796875" customWidth="1"/>
    <col min="79" max="79" width="11.36328125" customWidth="1"/>
    <col min="80" max="80" width="11" customWidth="1"/>
    <col min="81" max="81" width="9.6328125" bestFit="1" customWidth="1"/>
    <col min="82" max="82" width="11.453125" bestFit="1" customWidth="1"/>
    <col min="83" max="83" width="11.81640625" bestFit="1" customWidth="1"/>
    <col min="84" max="84" width="12.1796875" bestFit="1" customWidth="1"/>
    <col min="85" max="85" width="10.36328125" customWidth="1"/>
    <col min="87" max="87" width="13.81640625" customWidth="1"/>
    <col min="91" max="92" width="12.453125" bestFit="1" customWidth="1"/>
    <col min="93" max="93" width="15" bestFit="1" customWidth="1"/>
    <col min="94" max="94" width="10.36328125" customWidth="1"/>
    <col min="101" max="101" width="15.7265625" customWidth="1"/>
    <col min="105" max="105" width="11.7265625" bestFit="1" customWidth="1"/>
    <col min="106" max="106" width="18.26953125" bestFit="1" customWidth="1"/>
    <col min="107" max="107" width="12.1796875" bestFit="1" customWidth="1"/>
    <col min="108" max="108" width="14" bestFit="1" customWidth="1"/>
    <col min="109" max="109" width="15.54296875" bestFit="1" customWidth="1"/>
    <col min="110" max="110" width="14" bestFit="1" customWidth="1"/>
    <col min="111" max="112" width="11.7265625" bestFit="1" customWidth="1"/>
    <col min="113" max="113" width="33.26953125" bestFit="1" customWidth="1"/>
    <col min="114" max="114" width="10.81640625" bestFit="1" customWidth="1"/>
    <col min="115" max="115" width="12.1796875" bestFit="1" customWidth="1"/>
    <col min="116" max="117" width="14" bestFit="1" customWidth="1"/>
    <col min="118" max="118" width="15.54296875" bestFit="1" customWidth="1"/>
    <col min="119" max="119" width="6" bestFit="1" customWidth="1"/>
    <col min="120" max="120" width="11.26953125" bestFit="1" customWidth="1"/>
    <col min="121" max="121" width="14" bestFit="1" customWidth="1"/>
    <col min="122" max="122" width="18.08984375" bestFit="1" customWidth="1"/>
    <col min="123" max="123" width="14" bestFit="1" customWidth="1"/>
    <col min="124" max="124" width="14.6328125" bestFit="1" customWidth="1"/>
    <col min="125" max="125" width="19" bestFit="1" customWidth="1"/>
    <col min="126" max="126" width="16" bestFit="1" customWidth="1"/>
    <col min="127" max="127" width="7.6328125" bestFit="1" customWidth="1"/>
    <col min="128" max="131" width="14" bestFit="1" customWidth="1"/>
    <col min="133" max="133" width="11.7265625" bestFit="1" customWidth="1"/>
    <col min="134" max="134" width="4.6328125" bestFit="1" customWidth="1"/>
    <col min="135" max="135" width="14" bestFit="1" customWidth="1"/>
    <col min="136" max="136" width="10.81640625" bestFit="1" customWidth="1"/>
    <col min="137" max="137" width="15.81640625" bestFit="1" customWidth="1"/>
    <col min="138" max="139" width="14" bestFit="1" customWidth="1"/>
    <col min="140" max="140" width="35.81640625" bestFit="1" customWidth="1"/>
    <col min="141" max="141" width="14" bestFit="1" customWidth="1"/>
    <col min="142" max="142" width="49.90625" bestFit="1" customWidth="1"/>
    <col min="143" max="143" width="14" bestFit="1" customWidth="1"/>
    <col min="144" max="144" width="55.36328125" bestFit="1" customWidth="1"/>
    <col min="145" max="145" width="14.6328125" bestFit="1" customWidth="1"/>
  </cols>
  <sheetData>
    <row r="1" spans="1:147" ht="28.5" x14ac:dyDescent="0.65">
      <c r="A1" s="76" t="s">
        <v>92</v>
      </c>
      <c r="F1" s="40" t="s">
        <v>75</v>
      </c>
      <c r="G1" s="40"/>
      <c r="H1" s="40"/>
      <c r="I1" s="41"/>
      <c r="J1" s="42"/>
      <c r="K1" s="43"/>
      <c r="L1" s="42"/>
      <c r="M1" s="40"/>
      <c r="N1" s="40"/>
      <c r="O1" s="40"/>
      <c r="P1" s="40"/>
      <c r="Q1" s="40"/>
      <c r="R1" s="40"/>
      <c r="X1" s="76" t="s">
        <v>93</v>
      </c>
      <c r="AJ1" s="57" t="s">
        <v>89</v>
      </c>
      <c r="AO1" s="73" t="s">
        <v>89</v>
      </c>
      <c r="AP1" s="6" t="s">
        <v>90</v>
      </c>
      <c r="AT1" s="70" t="s">
        <v>89</v>
      </c>
      <c r="AU1" s="13" t="s">
        <v>90</v>
      </c>
      <c r="AX1" s="87"/>
      <c r="AY1" s="88" t="s">
        <v>89</v>
      </c>
      <c r="AZ1" s="89" t="s">
        <v>90</v>
      </c>
      <c r="BA1" s="87"/>
      <c r="BE1" s="86" t="s">
        <v>132</v>
      </c>
      <c r="BF1" s="84"/>
      <c r="BG1" s="84" t="s">
        <v>147</v>
      </c>
      <c r="BI1" s="84"/>
      <c r="BJ1" s="95" t="s">
        <v>97</v>
      </c>
      <c r="BN1" s="83"/>
      <c r="BQ1" s="86"/>
      <c r="BR1" s="86"/>
      <c r="BW1" s="86" t="s">
        <v>132</v>
      </c>
      <c r="BX1" s="84"/>
      <c r="BY1" s="84" t="s">
        <v>138</v>
      </c>
      <c r="BZ1" s="84"/>
      <c r="CA1" s="86"/>
      <c r="CB1" s="84"/>
      <c r="CC1" s="84"/>
      <c r="CD1" s="84" t="s">
        <v>140</v>
      </c>
      <c r="CE1" s="86"/>
      <c r="CF1" s="86"/>
      <c r="CG1" s="86"/>
      <c r="CI1" s="132" t="s">
        <v>211</v>
      </c>
      <c r="CK1" t="s">
        <v>220</v>
      </c>
      <c r="CM1" s="68"/>
      <c r="CN1" s="84" t="s">
        <v>224</v>
      </c>
      <c r="CO1" s="84"/>
      <c r="CP1" s="86"/>
      <c r="CR1" s="84" t="s">
        <v>214</v>
      </c>
      <c r="CT1" s="68" t="s">
        <v>70</v>
      </c>
      <c r="CW1" s="84" t="s">
        <v>234</v>
      </c>
      <c r="CX1" s="68" t="s">
        <v>235</v>
      </c>
    </row>
    <row r="2" spans="1:147" x14ac:dyDescent="0.35">
      <c r="D2" t="s">
        <v>21</v>
      </c>
      <c r="F2" s="2" t="s">
        <v>95</v>
      </c>
      <c r="G2"/>
      <c r="H2" t="s">
        <v>175</v>
      </c>
      <c r="I2" s="2" t="s">
        <v>69</v>
      </c>
      <c r="J2" s="14"/>
      <c r="M2" s="2"/>
      <c r="N2" s="2" t="s">
        <v>25</v>
      </c>
      <c r="O2" s="7"/>
      <c r="P2" s="14" t="s">
        <v>26</v>
      </c>
      <c r="Q2" s="14"/>
      <c r="R2" s="5" t="s">
        <v>83</v>
      </c>
      <c r="S2" s="5"/>
      <c r="T2" s="2" t="s">
        <v>70</v>
      </c>
      <c r="X2" s="17" t="s">
        <v>40</v>
      </c>
      <c r="Y2" s="28" t="s">
        <v>28</v>
      </c>
      <c r="Z2" s="29"/>
      <c r="AA2" s="30"/>
      <c r="AB2" s="30"/>
      <c r="AC2" s="30"/>
      <c r="AD2" s="30"/>
      <c r="AE2" t="s">
        <v>29</v>
      </c>
      <c r="AF2" t="s">
        <v>30</v>
      </c>
      <c r="AH2" s="11" t="s">
        <v>35</v>
      </c>
      <c r="AI2" s="4" t="s">
        <v>362</v>
      </c>
      <c r="AJ2" s="57"/>
      <c r="AL2" s="64" t="s">
        <v>70</v>
      </c>
      <c r="AN2" s="6" t="s">
        <v>25</v>
      </c>
      <c r="AO2" s="6"/>
      <c r="AP2" s="6"/>
      <c r="AQ2" s="6"/>
      <c r="AS2" s="13" t="s">
        <v>26</v>
      </c>
      <c r="AT2" s="13"/>
      <c r="AU2" s="13"/>
      <c r="AV2" s="13"/>
      <c r="AX2" s="89" t="s">
        <v>94</v>
      </c>
      <c r="AY2" s="89"/>
      <c r="AZ2" s="89"/>
      <c r="BA2" s="89"/>
      <c r="BE2" s="86" t="s">
        <v>95</v>
      </c>
      <c r="BF2" s="84" t="s">
        <v>133</v>
      </c>
      <c r="BG2" s="86" t="s">
        <v>143</v>
      </c>
      <c r="BH2" s="84" t="s">
        <v>96</v>
      </c>
      <c r="BI2" s="84" t="s">
        <v>148</v>
      </c>
      <c r="BJ2" s="86" t="s">
        <v>149</v>
      </c>
      <c r="BO2" s="84" t="s">
        <v>150</v>
      </c>
      <c r="BP2" s="84"/>
      <c r="BW2" s="86" t="s">
        <v>95</v>
      </c>
      <c r="BX2" s="84" t="s">
        <v>133</v>
      </c>
      <c r="BY2" s="84" t="s">
        <v>137</v>
      </c>
      <c r="BZ2" s="84" t="s">
        <v>25</v>
      </c>
      <c r="CA2" s="84" t="s">
        <v>26</v>
      </c>
      <c r="CB2" s="84" t="s">
        <v>74</v>
      </c>
      <c r="CC2" s="84" t="s">
        <v>139</v>
      </c>
      <c r="CD2" s="84" t="s">
        <v>83</v>
      </c>
      <c r="CE2" s="84" t="s">
        <v>25</v>
      </c>
      <c r="CF2" s="84" t="s">
        <v>26</v>
      </c>
      <c r="CG2" s="84" t="s">
        <v>74</v>
      </c>
      <c r="CI2" s="130" t="s">
        <v>216</v>
      </c>
      <c r="CJ2" s="130" t="s">
        <v>217</v>
      </c>
      <c r="CK2" s="130" t="s">
        <v>218</v>
      </c>
      <c r="CL2" s="130" t="s">
        <v>219</v>
      </c>
      <c r="CN2" s="84" t="s">
        <v>137</v>
      </c>
      <c r="CO2" s="84" t="s">
        <v>25</v>
      </c>
      <c r="CP2" s="84" t="s">
        <v>26</v>
      </c>
      <c r="CQ2" s="84" t="s">
        <v>74</v>
      </c>
      <c r="CR2" s="84" t="s">
        <v>174</v>
      </c>
      <c r="CS2" s="84" t="s">
        <v>221</v>
      </c>
      <c r="CT2" s="84" t="s">
        <v>30</v>
      </c>
      <c r="CW2" s="84" t="s">
        <v>175</v>
      </c>
      <c r="CX2" s="84" t="s">
        <v>175</v>
      </c>
    </row>
    <row r="3" spans="1:147" x14ac:dyDescent="0.35">
      <c r="A3" t="s">
        <v>20</v>
      </c>
      <c r="B3">
        <v>10.27</v>
      </c>
      <c r="C3" t="s">
        <v>76</v>
      </c>
      <c r="D3">
        <v>40.078000000000003</v>
      </c>
      <c r="F3" s="2" t="s">
        <v>78</v>
      </c>
      <c r="G3"/>
      <c r="H3" s="142">
        <f>(B3/1000)*D3*1000</f>
        <v>411.60106000000002</v>
      </c>
      <c r="I3" s="2" t="s">
        <v>25</v>
      </c>
      <c r="J3" s="14" t="s">
        <v>26</v>
      </c>
      <c r="K3" s="5" t="s">
        <v>83</v>
      </c>
      <c r="L3" s="2" t="s">
        <v>74</v>
      </c>
      <c r="M3" s="2"/>
      <c r="N3" s="7" t="s">
        <v>84</v>
      </c>
      <c r="O3" s="7" t="s">
        <v>85</v>
      </c>
      <c r="P3" s="14" t="s">
        <v>84</v>
      </c>
      <c r="Q3" s="14" t="s">
        <v>85</v>
      </c>
      <c r="R3" s="5" t="s">
        <v>84</v>
      </c>
      <c r="S3" s="5" t="s">
        <v>85</v>
      </c>
      <c r="T3" s="2" t="s">
        <v>25</v>
      </c>
      <c r="U3" s="14" t="s">
        <v>26</v>
      </c>
      <c r="V3" s="5" t="s">
        <v>83</v>
      </c>
      <c r="W3" s="5"/>
      <c r="Y3" t="s">
        <v>41</v>
      </c>
      <c r="Z3" s="15" t="s">
        <v>31</v>
      </c>
      <c r="AA3" t="s">
        <v>32</v>
      </c>
      <c r="AB3" t="s">
        <v>33</v>
      </c>
      <c r="AE3" s="80">
        <f>F11</f>
        <v>8.6660175267770203</v>
      </c>
      <c r="AF3" t="s">
        <v>23</v>
      </c>
      <c r="AG3" s="2" t="s">
        <v>27</v>
      </c>
      <c r="AH3" s="11" t="s">
        <v>34</v>
      </c>
      <c r="AI3" s="4" t="s">
        <v>34</v>
      </c>
      <c r="AJ3" s="57" t="s">
        <v>84</v>
      </c>
      <c r="AK3" s="64"/>
      <c r="AN3" s="67" t="s">
        <v>86</v>
      </c>
      <c r="AO3" s="67" t="s">
        <v>84</v>
      </c>
      <c r="AP3" s="67" t="s">
        <v>87</v>
      </c>
      <c r="AQ3" s="68" t="s">
        <v>70</v>
      </c>
      <c r="AS3" s="31" t="s">
        <v>86</v>
      </c>
      <c r="AT3" s="31" t="s">
        <v>84</v>
      </c>
      <c r="AU3" s="31" t="s">
        <v>87</v>
      </c>
      <c r="AV3" s="33" t="s">
        <v>70</v>
      </c>
      <c r="AX3" s="89" t="s">
        <v>86</v>
      </c>
      <c r="AY3" s="89" t="s">
        <v>84</v>
      </c>
      <c r="AZ3" s="89" t="s">
        <v>87</v>
      </c>
      <c r="BA3" s="90" t="s">
        <v>70</v>
      </c>
      <c r="BJ3" s="84" t="s">
        <v>154</v>
      </c>
      <c r="BK3" s="84" t="s">
        <v>145</v>
      </c>
      <c r="BL3" s="86" t="s">
        <v>144</v>
      </c>
      <c r="BM3" s="86" t="s">
        <v>94</v>
      </c>
      <c r="BN3" s="105" t="s">
        <v>146</v>
      </c>
      <c r="BO3" s="84" t="s">
        <v>154</v>
      </c>
      <c r="BP3" s="84" t="s">
        <v>145</v>
      </c>
      <c r="BQ3" s="86" t="s">
        <v>144</v>
      </c>
      <c r="BR3" s="86" t="s">
        <v>94</v>
      </c>
      <c r="BW3" s="79" t="s">
        <v>135</v>
      </c>
      <c r="BX3" s="85" t="s">
        <v>101</v>
      </c>
      <c r="BY3" s="79"/>
      <c r="BZ3" s="79"/>
      <c r="CA3" s="79"/>
      <c r="CB3" s="79"/>
      <c r="CC3" s="79"/>
      <c r="CD3" s="79"/>
      <c r="CE3" s="79"/>
      <c r="CF3" s="79"/>
      <c r="CG3" s="79"/>
      <c r="CH3" s="6"/>
      <c r="CI3" s="44"/>
      <c r="CK3" s="6"/>
    </row>
    <row r="4" spans="1:147" x14ac:dyDescent="0.35">
      <c r="A4" s="4" t="s">
        <v>10</v>
      </c>
      <c r="B4" s="4">
        <v>416</v>
      </c>
      <c r="C4" s="4" t="s">
        <v>77</v>
      </c>
      <c r="D4" s="4">
        <v>10.811</v>
      </c>
      <c r="E4" s="4" t="s">
        <v>0</v>
      </c>
      <c r="F4" s="5">
        <f>B4/$B$3</f>
        <v>40.506329113924053</v>
      </c>
      <c r="G4" s="4" t="s">
        <v>23</v>
      </c>
      <c r="H4" s="142">
        <f>(B4/1000000)*D4*1000</f>
        <v>4.497376</v>
      </c>
      <c r="I4" s="52">
        <v>0.05</v>
      </c>
      <c r="J4" s="14">
        <v>0.15</v>
      </c>
      <c r="K4" s="5">
        <v>0.1</v>
      </c>
      <c r="M4" s="2" t="s">
        <v>23</v>
      </c>
      <c r="N4" s="99">
        <f>F16/I4</f>
        <v>800</v>
      </c>
      <c r="O4" s="100"/>
      <c r="P4" s="99">
        <f>F16/J4</f>
        <v>266.66666666666669</v>
      </c>
      <c r="Q4" s="100"/>
      <c r="R4" s="99">
        <f>F16/K4</f>
        <v>400</v>
      </c>
      <c r="S4" s="100"/>
      <c r="T4" s="97">
        <f>I4/($F16)</f>
        <v>1.25E-3</v>
      </c>
      <c r="U4" s="97">
        <f t="shared" ref="U4" si="0">J4/($F16)</f>
        <v>3.7499999999999999E-3</v>
      </c>
      <c r="V4" s="97">
        <f>K4/($F16)</f>
        <v>2.5000000000000001E-3</v>
      </c>
      <c r="W4" s="48"/>
      <c r="X4" s="19">
        <f>AVERAGE(Y4:Y7)</f>
        <v>1.3972798154596744</v>
      </c>
      <c r="Y4" s="2">
        <f>EXP(Z4)</f>
        <v>1.8768907902590162</v>
      </c>
      <c r="Z4" s="15">
        <f>((605+47)/AA4)-1.89+0.15</f>
        <v>0.62961657277848493</v>
      </c>
      <c r="AA4">
        <f>AB4+273.15</f>
        <v>275.14999999999998</v>
      </c>
      <c r="AB4" s="8">
        <v>2</v>
      </c>
      <c r="AC4" s="16" t="s">
        <v>36</v>
      </c>
      <c r="AE4" s="9"/>
      <c r="AF4" s="2">
        <f>Y4*$AE$3</f>
        <v>16.265168484231008</v>
      </c>
      <c r="AG4" s="2">
        <f>AF4/AI$4</f>
        <v>10.843445656154005</v>
      </c>
      <c r="AH4" s="12">
        <f>AVERAGE(AF4:AF7)</f>
        <v>12.108851370585299</v>
      </c>
      <c r="AI4" s="58">
        <f>K11</f>
        <v>1.5</v>
      </c>
      <c r="AJ4" s="57">
        <f>$AH4/AI4</f>
        <v>8.0725675803901993</v>
      </c>
      <c r="AL4" s="61">
        <f>AI4/$AE3</f>
        <v>0.17308988764044944</v>
      </c>
      <c r="AN4" s="58">
        <f>I11</f>
        <v>0.78</v>
      </c>
      <c r="AO4" s="57">
        <f>$AH4/AN4</f>
        <v>15.524168423827305</v>
      </c>
      <c r="AP4" s="13"/>
      <c r="AQ4" s="61">
        <f>AN4/$AE3</f>
        <v>9.0006741573033719E-2</v>
      </c>
      <c r="AS4" s="58">
        <f>J11</f>
        <v>2.92</v>
      </c>
      <c r="AT4" s="57">
        <f>$AH4/AS4</f>
        <v>4.1468669077346911</v>
      </c>
      <c r="AU4" s="13"/>
      <c r="AV4" s="61">
        <f>AS4/$AE3</f>
        <v>0.33694831460674157</v>
      </c>
      <c r="BE4" s="79" t="s">
        <v>0</v>
      </c>
      <c r="BF4" s="79" t="s">
        <v>101</v>
      </c>
      <c r="BH4" s="84"/>
      <c r="BI4" s="84"/>
      <c r="BN4" s="83"/>
      <c r="BR4" s="86"/>
      <c r="BW4" s="79" t="s">
        <v>127</v>
      </c>
      <c r="BX4" s="79" t="s">
        <v>136</v>
      </c>
      <c r="BY4" s="85">
        <v>0.1</v>
      </c>
      <c r="BZ4" s="85">
        <v>0.05</v>
      </c>
      <c r="CA4" s="85">
        <v>0.15</v>
      </c>
      <c r="CB4" s="85"/>
      <c r="CC4" s="85" t="s">
        <v>23</v>
      </c>
      <c r="CD4" s="91">
        <v>2.5000000000000001E-3</v>
      </c>
      <c r="CE4" s="91">
        <v>1.25E-3</v>
      </c>
      <c r="CF4" s="91">
        <v>3.7499999999999999E-3</v>
      </c>
      <c r="CG4" s="79"/>
      <c r="CH4" s="134" t="s">
        <v>10</v>
      </c>
      <c r="CI4" s="131">
        <v>41</v>
      </c>
      <c r="CJ4">
        <f t="shared" ref="CJ4:CJ14" si="1">CI4/100</f>
        <v>0.41</v>
      </c>
      <c r="CK4" s="6">
        <v>27</v>
      </c>
      <c r="CL4">
        <f t="shared" ref="CL4:CL14" si="2">CK4/100</f>
        <v>0.27</v>
      </c>
      <c r="CM4" s="40" t="s">
        <v>222</v>
      </c>
      <c r="CN4" s="52">
        <f>CD4</f>
        <v>2.5000000000000001E-3</v>
      </c>
      <c r="CO4" s="52">
        <f t="shared" ref="CO4:CP4" si="3">CE4</f>
        <v>1.25E-3</v>
      </c>
      <c r="CP4" s="52">
        <f t="shared" si="3"/>
        <v>3.7499999999999999E-3</v>
      </c>
      <c r="CR4">
        <f t="shared" ref="CR4:CR14" si="4">LOG(CI4)</f>
        <v>1.6127838567197355</v>
      </c>
      <c r="CS4">
        <f t="shared" ref="CS4:CS14" si="5">LOG(CK4)</f>
        <v>1.4313637641589874</v>
      </c>
      <c r="CT4">
        <v>7.0999999999999994E-2</v>
      </c>
      <c r="CV4" t="s">
        <v>20</v>
      </c>
      <c r="CW4" s="142">
        <f t="shared" ref="CW4:CW14" si="6">H3</f>
        <v>411.60106000000002</v>
      </c>
      <c r="DC4" t="s">
        <v>234</v>
      </c>
      <c r="DD4" t="s">
        <v>235</v>
      </c>
      <c r="DI4" t="s">
        <v>299</v>
      </c>
      <c r="DJ4" s="11" t="s">
        <v>300</v>
      </c>
      <c r="DK4" s="98" t="s">
        <v>301</v>
      </c>
      <c r="DL4" t="s">
        <v>174</v>
      </c>
      <c r="DM4" t="s">
        <v>235</v>
      </c>
      <c r="DN4" t="s">
        <v>238</v>
      </c>
      <c r="DP4" t="s">
        <v>239</v>
      </c>
      <c r="DQ4" t="s">
        <v>239</v>
      </c>
      <c r="DR4" t="s">
        <v>297</v>
      </c>
      <c r="DU4" t="s">
        <v>296</v>
      </c>
      <c r="EE4" t="s">
        <v>30</v>
      </c>
      <c r="EF4" t="s">
        <v>30</v>
      </c>
      <c r="EG4" t="s">
        <v>173</v>
      </c>
    </row>
    <row r="5" spans="1:147" s="6" customFormat="1" x14ac:dyDescent="0.35">
      <c r="A5" s="6" t="s">
        <v>11</v>
      </c>
      <c r="B5" s="6">
        <v>469</v>
      </c>
      <c r="C5" t="s">
        <v>76</v>
      </c>
      <c r="D5" s="6">
        <v>22.989768999999999</v>
      </c>
      <c r="E5" s="6" t="s">
        <v>1</v>
      </c>
      <c r="F5" s="7">
        <f>B5/$B$3</f>
        <v>45.666991236611494</v>
      </c>
      <c r="G5" t="s">
        <v>22</v>
      </c>
      <c r="H5" s="142">
        <f>(B5/1000)*D5*1000</f>
        <v>10782.201660999999</v>
      </c>
      <c r="I5" s="53">
        <v>16.05</v>
      </c>
      <c r="J5" s="14">
        <v>26.96</v>
      </c>
      <c r="K5" s="4">
        <v>20.53</v>
      </c>
      <c r="M5" s="7" t="s">
        <v>23</v>
      </c>
      <c r="N5" s="44">
        <f>F5/I5*1000</f>
        <v>2845.2954041502489</v>
      </c>
      <c r="P5" s="51">
        <f>F5/J5*1000</f>
        <v>1693.8794969069543</v>
      </c>
      <c r="Q5" s="13"/>
      <c r="R5" s="55">
        <f>F5/K5*1000</f>
        <v>2224.4028853683144</v>
      </c>
      <c r="S5" s="4"/>
      <c r="T5" s="48">
        <f>I5/$F5/1000</f>
        <v>3.5145735607675907E-4</v>
      </c>
      <c r="U5" s="47">
        <f t="shared" ref="U5:V6" si="7">J5/$F5/1000</f>
        <v>5.903607675906183E-4</v>
      </c>
      <c r="V5" s="56">
        <f>K5/$F5/1000</f>
        <v>4.4955884861407248E-4</v>
      </c>
      <c r="W5" s="48"/>
      <c r="X5" s="20"/>
      <c r="Y5" s="2">
        <f>EXP(Z5)</f>
        <v>1.3337369452721271</v>
      </c>
      <c r="Z5" s="15">
        <f>((605-47)/AA5)-1.89+0.15</f>
        <v>0.2879847355987647</v>
      </c>
      <c r="AA5">
        <f>AB5+273.15</f>
        <v>275.14999999999998</v>
      </c>
      <c r="AB5" s="9">
        <f>AB4</f>
        <v>2</v>
      </c>
      <c r="AC5" s="10" t="s">
        <v>37</v>
      </c>
      <c r="AD5"/>
      <c r="AE5" s="9"/>
      <c r="AF5" s="3">
        <f>Y5*$AE$3</f>
        <v>11.558187743838296</v>
      </c>
      <c r="AG5" s="2">
        <f>AF5/AI$4</f>
        <v>7.7054584958921977</v>
      </c>
      <c r="AH5" s="12"/>
      <c r="AI5" s="5"/>
      <c r="AJ5" s="57"/>
      <c r="AL5" s="64"/>
      <c r="AN5" s="5"/>
      <c r="AO5" s="57"/>
      <c r="AQ5" s="64"/>
      <c r="AS5" s="5"/>
      <c r="AT5" s="57"/>
      <c r="AV5" s="64"/>
      <c r="BC5" s="163"/>
      <c r="BE5" s="79" t="s">
        <v>127</v>
      </c>
      <c r="BF5" s="79" t="s">
        <v>136</v>
      </c>
      <c r="BG5" s="96">
        <v>0.03</v>
      </c>
      <c r="BH5" s="84" t="s">
        <v>99</v>
      </c>
      <c r="BI5" s="85" t="s">
        <v>119</v>
      </c>
      <c r="BJ5" s="85">
        <v>0.1</v>
      </c>
      <c r="BK5" s="85">
        <v>0.05</v>
      </c>
      <c r="BL5" s="85">
        <v>0.15</v>
      </c>
      <c r="BM5" s="85"/>
      <c r="BN5" s="79" t="s">
        <v>23</v>
      </c>
      <c r="BO5" s="91">
        <v>2.5000000000000001E-3</v>
      </c>
      <c r="BP5" s="91">
        <v>1.25E-3</v>
      </c>
      <c r="BQ5" s="91">
        <v>3.7499999999999999E-3</v>
      </c>
      <c r="BR5" s="91"/>
      <c r="BS5"/>
      <c r="BU5" s="163"/>
      <c r="BW5" s="79" t="s">
        <v>1</v>
      </c>
      <c r="BX5" s="85" t="s">
        <v>102</v>
      </c>
      <c r="BY5" s="79">
        <v>20.53</v>
      </c>
      <c r="BZ5" s="85">
        <v>16.05</v>
      </c>
      <c r="CA5" s="85">
        <v>26.96</v>
      </c>
      <c r="CB5" s="79"/>
      <c r="CC5" s="85" t="s">
        <v>23</v>
      </c>
      <c r="CD5" s="91">
        <v>4.4955884861407248E-4</v>
      </c>
      <c r="CE5" s="91">
        <v>3.5145735607675907E-4</v>
      </c>
      <c r="CF5" s="91">
        <v>5.903607675906183E-4</v>
      </c>
      <c r="CG5" s="79"/>
      <c r="CH5" s="67" t="s">
        <v>11</v>
      </c>
      <c r="CI5" s="44">
        <v>116</v>
      </c>
      <c r="CJ5">
        <f t="shared" si="1"/>
        <v>1.1599999999999999</v>
      </c>
      <c r="CK5" s="6">
        <v>102</v>
      </c>
      <c r="CL5">
        <f t="shared" si="2"/>
        <v>1.02</v>
      </c>
      <c r="CM5" s="30" t="s">
        <v>223</v>
      </c>
      <c r="CN5" s="52">
        <f t="shared" ref="CN5:CN13" si="8">CD5</f>
        <v>4.4955884861407248E-4</v>
      </c>
      <c r="CO5" s="52">
        <f t="shared" ref="CO5:CO13" si="9">CE5</f>
        <v>3.5145735607675907E-4</v>
      </c>
      <c r="CP5" s="52">
        <f t="shared" ref="CP5:CP13" si="10">CF5</f>
        <v>5.903607675906183E-4</v>
      </c>
      <c r="CR5">
        <f t="shared" si="4"/>
        <v>2.0644579892269186</v>
      </c>
      <c r="CS5">
        <f t="shared" si="5"/>
        <v>2.0086001717619175</v>
      </c>
      <c r="CT5">
        <v>4.2999999999999999E-4</v>
      </c>
      <c r="CU5"/>
      <c r="CV5" t="s">
        <v>10</v>
      </c>
      <c r="CW5" s="142">
        <f t="shared" si="6"/>
        <v>4.497376</v>
      </c>
      <c r="CX5"/>
      <c r="CY5"/>
      <c r="CZ5"/>
      <c r="DA5" t="s">
        <v>21</v>
      </c>
      <c r="DB5" t="s">
        <v>225</v>
      </c>
      <c r="DC5" t="s">
        <v>23</v>
      </c>
      <c r="DD5" t="s">
        <v>23</v>
      </c>
      <c r="DE5" t="s">
        <v>70</v>
      </c>
      <c r="DF5"/>
      <c r="DG5" t="s">
        <v>21</v>
      </c>
      <c r="DH5"/>
      <c r="DI5" t="s">
        <v>231</v>
      </c>
      <c r="DJ5" s="11" t="s">
        <v>231</v>
      </c>
      <c r="DK5" s="98" t="s">
        <v>231</v>
      </c>
      <c r="DL5" t="s">
        <v>242</v>
      </c>
      <c r="DM5" t="s">
        <v>175</v>
      </c>
      <c r="DN5" t="s">
        <v>175</v>
      </c>
      <c r="DO5"/>
      <c r="DP5" t="s">
        <v>23</v>
      </c>
      <c r="DQ5" t="s">
        <v>175</v>
      </c>
      <c r="DR5" t="s">
        <v>175</v>
      </c>
      <c r="DS5" t="s">
        <v>242</v>
      </c>
      <c r="DT5" t="s">
        <v>302</v>
      </c>
      <c r="DU5" t="s">
        <v>175</v>
      </c>
      <c r="DV5"/>
      <c r="DW5"/>
      <c r="DX5"/>
      <c r="DY5"/>
      <c r="DZ5" t="s">
        <v>242</v>
      </c>
      <c r="EA5" t="s">
        <v>302</v>
      </c>
      <c r="EB5"/>
      <c r="EC5" t="s">
        <v>21</v>
      </c>
      <c r="ED5"/>
      <c r="EE5" t="s">
        <v>23</v>
      </c>
      <c r="EF5" t="s">
        <v>175</v>
      </c>
      <c r="EG5" t="s">
        <v>175</v>
      </c>
      <c r="EH5" t="s">
        <v>255</v>
      </c>
      <c r="EI5" t="s">
        <v>255</v>
      </c>
      <c r="EJ5"/>
      <c r="EK5" t="s">
        <v>255</v>
      </c>
      <c r="EL5"/>
      <c r="EM5" t="s">
        <v>255</v>
      </c>
      <c r="EN5"/>
      <c r="EO5" t="s">
        <v>302</v>
      </c>
      <c r="EP5"/>
      <c r="EQ5"/>
    </row>
    <row r="6" spans="1:147" s="6" customFormat="1" x14ac:dyDescent="0.35">
      <c r="A6" s="6" t="s">
        <v>12</v>
      </c>
      <c r="B6" s="6">
        <v>52.7</v>
      </c>
      <c r="C6" t="s">
        <v>76</v>
      </c>
      <c r="D6" s="6">
        <v>24.305</v>
      </c>
      <c r="E6" s="6" t="s">
        <v>2</v>
      </c>
      <c r="F6" s="7">
        <f t="shared" ref="F6:F15" si="11">B6/$B$3</f>
        <v>5.1314508276533601</v>
      </c>
      <c r="G6" t="s">
        <v>22</v>
      </c>
      <c r="H6" s="142">
        <f>(B6/1000)*D6*1000</f>
        <v>1280.8734999999999</v>
      </c>
      <c r="I6" s="53">
        <v>0.1</v>
      </c>
      <c r="J6" s="14">
        <v>0.86</v>
      </c>
      <c r="K6" s="5">
        <v>0.38</v>
      </c>
      <c r="M6" s="7" t="s">
        <v>23</v>
      </c>
      <c r="N6" s="44">
        <f>F6/I6*1000</f>
        <v>51314.508276533605</v>
      </c>
      <c r="P6" s="51">
        <f>F6/J6*1000</f>
        <v>5966.8032879690236</v>
      </c>
      <c r="Q6" s="13"/>
      <c r="R6" s="55">
        <f>F6/K6*1000</f>
        <v>13503.817967508843</v>
      </c>
      <c r="S6" s="4"/>
      <c r="T6" s="48">
        <f>I6/$F6/1000</f>
        <v>1.9487666034155594E-5</v>
      </c>
      <c r="U6" s="47">
        <f t="shared" si="7"/>
        <v>1.6759392789373812E-4</v>
      </c>
      <c r="V6" s="56">
        <f t="shared" si="7"/>
        <v>7.4053130929791264E-5</v>
      </c>
      <c r="W6" s="49"/>
      <c r="X6" s="20"/>
      <c r="Y6" s="2">
        <f>EXP(Z6)</f>
        <v>0.98805663065396687</v>
      </c>
      <c r="Z6" s="15">
        <f>((605-47)/AA6)-1.89-0.15</f>
        <v>-1.201526440123532E-2</v>
      </c>
      <c r="AA6">
        <f>AB6+273.15</f>
        <v>275.14999999999998</v>
      </c>
      <c r="AB6" s="9">
        <f>AB5</f>
        <v>2</v>
      </c>
      <c r="AC6" s="16" t="s">
        <v>38</v>
      </c>
      <c r="AD6"/>
      <c r="AE6" s="9"/>
      <c r="AF6" s="2">
        <f>Y6*$AE$3</f>
        <v>8.5625160786955252</v>
      </c>
      <c r="AG6" s="2">
        <f>AF6/AI$4</f>
        <v>5.7083440524636835</v>
      </c>
      <c r="AH6" s="12"/>
      <c r="AI6" s="5"/>
      <c r="AJ6" s="57"/>
      <c r="AL6" s="64"/>
      <c r="AN6" s="5"/>
      <c r="AO6" s="57"/>
      <c r="AQ6" s="64"/>
      <c r="AS6" s="5"/>
      <c r="AT6" s="57"/>
      <c r="AV6" s="64"/>
      <c r="BC6" s="163"/>
      <c r="BG6" s="91">
        <v>2.9999999999999997E-4</v>
      </c>
      <c r="BH6" s="84" t="s">
        <v>99</v>
      </c>
      <c r="BI6" s="85" t="s">
        <v>119</v>
      </c>
      <c r="BU6" s="163"/>
      <c r="BW6" s="79" t="s">
        <v>2</v>
      </c>
      <c r="BX6" s="85" t="s">
        <v>103</v>
      </c>
      <c r="BY6" s="85">
        <v>0.38</v>
      </c>
      <c r="BZ6" s="85">
        <v>0.1</v>
      </c>
      <c r="CA6" s="85">
        <v>0.86</v>
      </c>
      <c r="CB6" s="79"/>
      <c r="CC6" s="85" t="s">
        <v>23</v>
      </c>
      <c r="CD6" s="92">
        <v>7.4053130929791264E-5</v>
      </c>
      <c r="CE6" s="92">
        <v>1.9487666034155594E-5</v>
      </c>
      <c r="CF6" s="92">
        <v>1.6759392789373812E-4</v>
      </c>
      <c r="CG6" s="79"/>
      <c r="CH6" s="133" t="s">
        <v>12</v>
      </c>
      <c r="CI6" s="44">
        <v>86</v>
      </c>
      <c r="CJ6">
        <f t="shared" si="1"/>
        <v>0.86</v>
      </c>
      <c r="CK6" s="6">
        <v>72</v>
      </c>
      <c r="CL6">
        <f t="shared" si="2"/>
        <v>0.72</v>
      </c>
      <c r="CM6" s="8" t="s">
        <v>213</v>
      </c>
      <c r="CN6" s="52">
        <f t="shared" si="8"/>
        <v>7.4053130929791264E-5</v>
      </c>
      <c r="CO6" s="52">
        <f t="shared" si="9"/>
        <v>1.9487666034155594E-5</v>
      </c>
      <c r="CP6" s="52">
        <f t="shared" si="10"/>
        <v>1.6759392789373812E-4</v>
      </c>
      <c r="CR6">
        <f t="shared" si="4"/>
        <v>1.9344984512435677</v>
      </c>
      <c r="CS6">
        <f t="shared" si="5"/>
        <v>1.8573324964312685</v>
      </c>
      <c r="CT6">
        <v>1.3740934341415515E-3</v>
      </c>
      <c r="CU6"/>
      <c r="CV6" t="s">
        <v>11</v>
      </c>
      <c r="CW6" s="142">
        <f t="shared" si="6"/>
        <v>10782.201660999999</v>
      </c>
      <c r="CX6"/>
      <c r="CY6"/>
      <c r="CZ6"/>
      <c r="DA6">
        <v>10.811</v>
      </c>
      <c r="DB6" s="4" t="s">
        <v>0</v>
      </c>
      <c r="DC6" s="5">
        <v>40.506329113924103</v>
      </c>
      <c r="DD6" s="5">
        <f>K4</f>
        <v>0.1</v>
      </c>
      <c r="DE6" s="52">
        <f>DD6/DC6</f>
        <v>2.468749999999997E-3</v>
      </c>
      <c r="DF6"/>
      <c r="DG6">
        <v>10.811</v>
      </c>
      <c r="DH6" s="134" t="s">
        <v>10</v>
      </c>
      <c r="DI6">
        <v>0.41</v>
      </c>
      <c r="DJ6" s="11">
        <f t="shared" ref="DJ6:DJ16" si="12">CL4</f>
        <v>0.27</v>
      </c>
      <c r="DK6" s="98">
        <f>DJ6</f>
        <v>0.27</v>
      </c>
      <c r="DL6">
        <f>DM6/DN6</f>
        <v>2.2792093878475432</v>
      </c>
      <c r="DM6">
        <f>DD6/1000*DG6*380000/40.078</f>
        <v>10.250461599880232</v>
      </c>
      <c r="DN6" s="142">
        <f t="shared" ref="DN6:DN15" si="13">CW5</f>
        <v>4.497376</v>
      </c>
      <c r="DO6">
        <f>DQ6*40.078/DG6/380000*1000</f>
        <v>0.15</v>
      </c>
      <c r="DP6" s="136">
        <v>0.15</v>
      </c>
      <c r="DQ6">
        <f>DP6/1000*DG6*380000/40.078</f>
        <v>15.375692399820348</v>
      </c>
      <c r="DR6" s="142">
        <f t="shared" ref="DR6:DR15" si="14">CW5</f>
        <v>4.497376</v>
      </c>
      <c r="DS6">
        <f>DQ6/DR6</f>
        <v>3.4188140817713149</v>
      </c>
      <c r="DT6">
        <f>LOG(DS6,10)</f>
        <v>0.53387548410861296</v>
      </c>
      <c r="DU6" s="142">
        <v>4.497376</v>
      </c>
      <c r="DV6"/>
      <c r="DW6"/>
      <c r="DX6"/>
      <c r="DY6"/>
      <c r="DZ6"/>
      <c r="EA6"/>
      <c r="EB6"/>
      <c r="EC6">
        <v>10.811</v>
      </c>
      <c r="ED6" s="134" t="s">
        <v>10</v>
      </c>
      <c r="EE6" s="136"/>
      <c r="EF6"/>
      <c r="EG6"/>
      <c r="EH6"/>
      <c r="EI6"/>
      <c r="EJ6"/>
      <c r="EK6"/>
      <c r="EL6"/>
      <c r="EM6"/>
      <c r="EN6"/>
      <c r="EO6"/>
      <c r="EP6"/>
      <c r="EQ6"/>
    </row>
    <row r="7" spans="1:147" x14ac:dyDescent="0.35">
      <c r="A7" t="s">
        <v>13</v>
      </c>
      <c r="B7" s="1">
        <v>1.1100000000000001</v>
      </c>
      <c r="C7" s="1" t="s">
        <v>81</v>
      </c>
      <c r="D7">
        <v>26.981539000000001</v>
      </c>
      <c r="E7" t="s">
        <v>3</v>
      </c>
      <c r="F7" s="3">
        <f>B7/$B$3</f>
        <v>0.10808179162609544</v>
      </c>
      <c r="G7" s="1" t="s">
        <v>24</v>
      </c>
      <c r="H7" s="142">
        <f>(B7/1000000000)*D7*1000</f>
        <v>2.9949508290000002E-5</v>
      </c>
      <c r="I7" s="52">
        <v>2.0000000000000001E-4</v>
      </c>
      <c r="J7" s="14">
        <v>0.2</v>
      </c>
      <c r="K7" s="5">
        <v>0.01</v>
      </c>
      <c r="M7" s="2" t="s">
        <v>23</v>
      </c>
      <c r="O7" s="7">
        <f>I7/F7*1000</f>
        <v>1.8504504504504504</v>
      </c>
      <c r="P7" s="14"/>
      <c r="Q7" s="51">
        <f>J7/F7*1000</f>
        <v>1850.4504504504505</v>
      </c>
      <c r="R7" s="5"/>
      <c r="S7" s="55">
        <f>K7/F7*1000</f>
        <v>92.522522522522507</v>
      </c>
      <c r="T7" s="48">
        <f>I7/$F7*1000</f>
        <v>1.8504504504504504</v>
      </c>
      <c r="U7" s="47">
        <f t="shared" ref="U7" si="15">J7/$F7*1000</f>
        <v>1850.4504504504505</v>
      </c>
      <c r="V7" s="56">
        <f>K7/$F7*1000</f>
        <v>92.522522522522507</v>
      </c>
      <c r="W7" s="48"/>
      <c r="X7" s="20"/>
      <c r="Y7" s="2">
        <f>EXP(Z7)</f>
        <v>1.3904348956535875</v>
      </c>
      <c r="Z7" s="15">
        <f>((605+47)/AA7)-1.89-0.15</f>
        <v>0.32961657277848488</v>
      </c>
      <c r="AA7">
        <f>AB7+273.15</f>
        <v>275.14999999999998</v>
      </c>
      <c r="AB7" s="9">
        <f>AB6</f>
        <v>2</v>
      </c>
      <c r="AC7" s="10" t="s">
        <v>39</v>
      </c>
      <c r="AE7" s="9"/>
      <c r="AF7" s="3">
        <f>Y7*$AE$3</f>
        <v>12.049533175576366</v>
      </c>
      <c r="AG7" s="2">
        <f>AF7/AI$4</f>
        <v>8.0330221170509102</v>
      </c>
      <c r="AH7" s="12"/>
      <c r="AI7" s="5"/>
      <c r="AJ7" s="57"/>
      <c r="AL7" s="64"/>
      <c r="AN7" s="5"/>
      <c r="AO7" s="57"/>
      <c r="AP7" s="13"/>
      <c r="AQ7" s="64"/>
      <c r="AS7" s="5"/>
      <c r="AT7" s="57"/>
      <c r="AU7" s="13"/>
      <c r="AV7" s="64"/>
      <c r="BG7" s="96">
        <v>7.0999999999999994E-2</v>
      </c>
      <c r="BH7" s="84" t="s">
        <v>98</v>
      </c>
      <c r="BI7" s="85" t="s">
        <v>124</v>
      </c>
      <c r="BJ7" s="85"/>
      <c r="BK7" s="85"/>
      <c r="BL7" s="85"/>
      <c r="BM7" s="85"/>
      <c r="BN7" s="83"/>
      <c r="BO7" s="93"/>
      <c r="BP7" s="93"/>
      <c r="BQ7" s="93"/>
      <c r="BR7" s="93"/>
      <c r="BS7" s="6"/>
      <c r="BW7" s="79" t="s">
        <v>3</v>
      </c>
      <c r="BX7" s="85" t="s">
        <v>104</v>
      </c>
      <c r="BY7" s="85">
        <v>0.01</v>
      </c>
      <c r="BZ7" s="91">
        <v>2.0000000000000001E-4</v>
      </c>
      <c r="CA7" s="85">
        <v>0.2</v>
      </c>
      <c r="CB7" s="85"/>
      <c r="CC7" s="85" t="s">
        <v>23</v>
      </c>
      <c r="CD7" s="85">
        <v>92.522522522522507</v>
      </c>
      <c r="CE7" s="85">
        <v>1.8504504504504504</v>
      </c>
      <c r="CF7" s="85">
        <v>1850.4504504504505</v>
      </c>
      <c r="CG7" s="79"/>
      <c r="CH7" s="134" t="s">
        <v>13</v>
      </c>
      <c r="CI7" s="44">
        <v>67.5</v>
      </c>
      <c r="CJ7">
        <f t="shared" si="1"/>
        <v>0.67500000000000004</v>
      </c>
      <c r="CK7" s="6">
        <v>53.5</v>
      </c>
      <c r="CL7">
        <f t="shared" si="2"/>
        <v>0.53500000000000003</v>
      </c>
      <c r="CM7" s="40" t="s">
        <v>222</v>
      </c>
      <c r="CN7" s="52">
        <f t="shared" si="8"/>
        <v>92.522522522522507</v>
      </c>
      <c r="CO7" s="52">
        <f t="shared" si="9"/>
        <v>1.8504504504504504</v>
      </c>
      <c r="CP7" s="52">
        <f t="shared" si="10"/>
        <v>1850.4504504504505</v>
      </c>
      <c r="CR7">
        <f t="shared" si="4"/>
        <v>1.8293037728310249</v>
      </c>
      <c r="CS7">
        <f t="shared" si="5"/>
        <v>1.7283537820212285</v>
      </c>
      <c r="CV7" t="s">
        <v>12</v>
      </c>
      <c r="CW7" s="142">
        <f t="shared" si="6"/>
        <v>1280.8734999999999</v>
      </c>
      <c r="DA7">
        <v>22.989768999999999</v>
      </c>
      <c r="DB7" s="4" t="s">
        <v>1</v>
      </c>
      <c r="DC7" s="5">
        <f>F5*1000</f>
        <v>45666.991236611495</v>
      </c>
      <c r="DD7" s="5">
        <f>K5</f>
        <v>20.53</v>
      </c>
      <c r="DE7">
        <f t="shared" ref="DE7:DE15" si="16">DD7/DC7</f>
        <v>4.4955884861407248E-4</v>
      </c>
      <c r="DG7">
        <v>22.989768999999999</v>
      </c>
      <c r="DH7" s="67" t="s">
        <v>11</v>
      </c>
      <c r="DI7">
        <v>1.1599999999999999</v>
      </c>
      <c r="DJ7" s="11">
        <f t="shared" si="12"/>
        <v>1.02</v>
      </c>
      <c r="DK7" s="98">
        <v>1.24</v>
      </c>
      <c r="DL7">
        <f t="shared" ref="DL7:DL14" si="17">DM7/DN7</f>
        <v>0.41504354355488676</v>
      </c>
      <c r="DM7">
        <f t="shared" ref="DM7:DM15" si="18">DD7/1000*DG7*380000/40.078</f>
        <v>4475.0831847048257</v>
      </c>
      <c r="DN7" s="142">
        <f t="shared" si="13"/>
        <v>10782.201660999999</v>
      </c>
      <c r="DP7" s="136">
        <v>26.96</v>
      </c>
      <c r="DQ7">
        <f t="shared" ref="DQ7:DQ15" si="19">DP7/1000*DG7*380000/40.078</f>
        <v>5876.680110065372</v>
      </c>
      <c r="DR7" s="142">
        <f t="shared" si="14"/>
        <v>10782.201660999999</v>
      </c>
      <c r="DS7">
        <f t="shared" ref="DS7:DS16" si="20">DQ7/DR7</f>
        <v>0.54503526226204313</v>
      </c>
      <c r="DT7">
        <f t="shared" ref="DT7:DT16" si="21">LOG(DS7,10)</f>
        <v>-0.26357539917212663</v>
      </c>
      <c r="DU7" s="142">
        <v>10782.201660999999</v>
      </c>
      <c r="EC7">
        <v>22.989768999999999</v>
      </c>
      <c r="ED7" s="67" t="s">
        <v>11</v>
      </c>
      <c r="EE7" s="136"/>
      <c r="EH7" s="15">
        <f>CE65</f>
        <v>0.45149351897222217</v>
      </c>
      <c r="EI7" s="15">
        <f>EH7</f>
        <v>0.45149351897222217</v>
      </c>
      <c r="EK7" s="15">
        <f>EH7</f>
        <v>0.45149351897222217</v>
      </c>
      <c r="EL7" s="106" t="s">
        <v>273</v>
      </c>
      <c r="EM7" s="15">
        <f>EK7</f>
        <v>0.45149351897222217</v>
      </c>
      <c r="EN7" s="106" t="s">
        <v>273</v>
      </c>
      <c r="EO7">
        <f>LOG(EM7,10)</f>
        <v>-0.34534847944749131</v>
      </c>
    </row>
    <row r="8" spans="1:147" x14ac:dyDescent="0.35">
      <c r="A8" t="s">
        <v>14</v>
      </c>
      <c r="B8">
        <v>10.199999999999999</v>
      </c>
      <c r="C8" t="s">
        <v>76</v>
      </c>
      <c r="D8">
        <v>39.098300000000002</v>
      </c>
      <c r="E8" t="s">
        <v>4</v>
      </c>
      <c r="F8" s="7">
        <f t="shared" si="11"/>
        <v>0.99318403115871468</v>
      </c>
      <c r="G8" t="s">
        <v>22</v>
      </c>
      <c r="H8" s="142">
        <f>(B8/1000)*D8*1000</f>
        <v>398.80266</v>
      </c>
      <c r="I8" s="52">
        <v>0.03</v>
      </c>
      <c r="J8" s="14">
        <v>0.28000000000000003</v>
      </c>
      <c r="K8" s="5">
        <v>7.0000000000000007E-2</v>
      </c>
      <c r="M8" s="2" t="s">
        <v>23</v>
      </c>
      <c r="N8" s="44">
        <f>F8/I8*1000</f>
        <v>33106.134371957152</v>
      </c>
      <c r="O8" s="7"/>
      <c r="P8" s="51">
        <f>F8/J8*1000</f>
        <v>3547.0858255668377</v>
      </c>
      <c r="Q8" s="14"/>
      <c r="R8" s="55">
        <f>F8/K8*1000</f>
        <v>14188.343302267351</v>
      </c>
      <c r="S8" s="5"/>
      <c r="T8" s="48">
        <f>I8/$F8/1000</f>
        <v>3.0205882352941176E-5</v>
      </c>
      <c r="U8" s="47">
        <f t="shared" ref="U8" si="22">J8/$F8/1000</f>
        <v>2.8192156862745098E-4</v>
      </c>
      <c r="V8" s="56">
        <f>K8/$F8/1000</f>
        <v>7.0480392156862745E-5</v>
      </c>
      <c r="W8" s="48"/>
      <c r="AE8" s="9"/>
      <c r="AI8" s="4"/>
      <c r="AJ8" s="57"/>
      <c r="AL8" s="64"/>
      <c r="AN8" s="4"/>
      <c r="AO8" s="57"/>
      <c r="AP8" s="13"/>
      <c r="AQ8" s="64"/>
      <c r="AS8" s="4"/>
      <c r="AT8" s="57"/>
      <c r="AU8" s="13"/>
      <c r="AV8" s="64"/>
      <c r="BE8" s="79" t="s">
        <v>1</v>
      </c>
      <c r="BF8" s="79" t="s">
        <v>102</v>
      </c>
      <c r="BG8" s="92">
        <v>4.0000000000000002E-4</v>
      </c>
      <c r="BH8" s="84" t="s">
        <v>142</v>
      </c>
      <c r="BI8" s="85" t="s">
        <v>113</v>
      </c>
      <c r="BJ8" s="85">
        <v>20.53</v>
      </c>
      <c r="BK8" s="85">
        <v>16.05</v>
      </c>
      <c r="BL8" s="85">
        <v>26.96</v>
      </c>
      <c r="BM8" s="85"/>
      <c r="BN8" s="79" t="s">
        <v>23</v>
      </c>
      <c r="BO8" s="91">
        <v>4.4955884861407248E-4</v>
      </c>
      <c r="BP8" s="91">
        <v>3.5145735607675907E-4</v>
      </c>
      <c r="BQ8" s="91">
        <v>5.903607675906183E-4</v>
      </c>
      <c r="BR8" s="92"/>
      <c r="BW8" s="79" t="s">
        <v>4</v>
      </c>
      <c r="BX8" s="85" t="s">
        <v>105</v>
      </c>
      <c r="BY8" s="85">
        <v>7.0000000000000007E-2</v>
      </c>
      <c r="BZ8" s="85">
        <v>0.03</v>
      </c>
      <c r="CA8" s="85">
        <v>0.28000000000000003</v>
      </c>
      <c r="CB8" s="85"/>
      <c r="CC8" s="85" t="s">
        <v>23</v>
      </c>
      <c r="CD8" s="93">
        <v>7.0480392156862745E-5</v>
      </c>
      <c r="CE8" s="93">
        <v>3.0205882352941176E-5</v>
      </c>
      <c r="CF8" s="93">
        <v>2.8192156862745098E-4</v>
      </c>
      <c r="CG8" s="79"/>
      <c r="CH8" s="67" t="s">
        <v>14</v>
      </c>
      <c r="CI8" s="44">
        <v>152</v>
      </c>
      <c r="CJ8">
        <f t="shared" si="1"/>
        <v>1.52</v>
      </c>
      <c r="CK8" s="6">
        <v>138</v>
      </c>
      <c r="CL8">
        <f t="shared" si="2"/>
        <v>1.38</v>
      </c>
      <c r="CM8" s="30" t="s">
        <v>223</v>
      </c>
      <c r="CN8" s="52">
        <f t="shared" si="8"/>
        <v>7.0480392156862745E-5</v>
      </c>
      <c r="CO8" s="52">
        <f t="shared" si="9"/>
        <v>3.0205882352941176E-5</v>
      </c>
      <c r="CP8" s="52">
        <f t="shared" si="10"/>
        <v>2.8192156862745098E-4</v>
      </c>
      <c r="CR8">
        <f t="shared" si="4"/>
        <v>2.1818435879447726</v>
      </c>
      <c r="CS8">
        <f t="shared" si="5"/>
        <v>2.1398790864012365</v>
      </c>
      <c r="CT8">
        <v>5.0000000000000002E-5</v>
      </c>
      <c r="CV8" t="s">
        <v>13</v>
      </c>
      <c r="CW8" s="142">
        <f t="shared" si="6"/>
        <v>2.9949508290000002E-5</v>
      </c>
      <c r="DA8">
        <v>24.305</v>
      </c>
      <c r="DB8" s="4" t="s">
        <v>2</v>
      </c>
      <c r="DC8" s="5">
        <f>F6*1000</f>
        <v>5131.4508276533597</v>
      </c>
      <c r="DD8" s="5">
        <f>K6</f>
        <v>0.38</v>
      </c>
      <c r="DE8" s="48">
        <f t="shared" si="16"/>
        <v>7.4053130929791264E-5</v>
      </c>
      <c r="DG8">
        <v>24.305</v>
      </c>
      <c r="DH8" s="133" t="s">
        <v>12</v>
      </c>
      <c r="DI8">
        <v>0.86</v>
      </c>
      <c r="DJ8" s="11">
        <f t="shared" si="12"/>
        <v>0.72</v>
      </c>
      <c r="DK8" s="98">
        <v>0.89</v>
      </c>
      <c r="DL8">
        <f t="shared" si="17"/>
        <v>6.8367631884428764E-2</v>
      </c>
      <c r="DM8">
        <f t="shared" si="18"/>
        <v>87.570287938519868</v>
      </c>
      <c r="DN8" s="142">
        <f t="shared" si="13"/>
        <v>1280.8734999999999</v>
      </c>
      <c r="DP8" s="136">
        <v>0.86</v>
      </c>
      <c r="DQ8">
        <f t="shared" si="19"/>
        <v>198.18538849243973</v>
      </c>
      <c r="DR8" s="142">
        <f t="shared" si="14"/>
        <v>1280.8734999999999</v>
      </c>
      <c r="DS8">
        <f t="shared" si="20"/>
        <v>0.15472674584370724</v>
      </c>
      <c r="DT8">
        <f t="shared" si="21"/>
        <v>-0.81043460828930436</v>
      </c>
      <c r="DU8" s="142">
        <v>1280.8734999999999</v>
      </c>
      <c r="EC8">
        <v>24.305</v>
      </c>
      <c r="ED8" s="133" t="s">
        <v>12</v>
      </c>
      <c r="EE8" s="13">
        <f>DB35</f>
        <v>84.238186744311491</v>
      </c>
      <c r="EF8">
        <f>DF35</f>
        <v>18987.5</v>
      </c>
      <c r="EG8">
        <f>DH35</f>
        <v>875</v>
      </c>
      <c r="EH8">
        <f>EF8/EG8</f>
        <v>21.7</v>
      </c>
      <c r="EI8" s="38">
        <f>BX129</f>
        <v>2.5225395557937218</v>
      </c>
      <c r="EJ8" s="106" t="s">
        <v>285</v>
      </c>
      <c r="EK8" s="140">
        <f>CQ39</f>
        <v>1.2237499831419185</v>
      </c>
      <c r="EL8" s="106" t="s">
        <v>256</v>
      </c>
      <c r="EM8" s="38">
        <f>EK8</f>
        <v>1.2237499831419185</v>
      </c>
      <c r="EN8" s="106" t="s">
        <v>256</v>
      </c>
      <c r="EO8">
        <f>LOG(EM8,10)</f>
        <v>8.7692698828459342E-2</v>
      </c>
    </row>
    <row r="9" spans="1:147" s="1" customFormat="1" x14ac:dyDescent="0.35">
      <c r="A9" s="13" t="s">
        <v>15</v>
      </c>
      <c r="B9" s="13">
        <v>360</v>
      </c>
      <c r="C9" s="13" t="s">
        <v>79</v>
      </c>
      <c r="D9" s="13">
        <v>54.938043999999998</v>
      </c>
      <c r="E9" s="13" t="s">
        <v>5</v>
      </c>
      <c r="F9" s="14">
        <f t="shared" si="11"/>
        <v>35.053554040895811</v>
      </c>
      <c r="G9" s="13" t="s">
        <v>80</v>
      </c>
      <c r="H9" s="142">
        <f>(B9/1000000000000)*D9*1000</f>
        <v>1.9777695839999997E-5</v>
      </c>
      <c r="I9" s="54">
        <v>0.37</v>
      </c>
      <c r="J9" s="14">
        <v>16.86</v>
      </c>
      <c r="K9" s="5">
        <v>3.33</v>
      </c>
      <c r="M9" s="3" t="s">
        <v>24</v>
      </c>
      <c r="O9" s="7">
        <f>I9/F9*1000</f>
        <v>10.555277777777778</v>
      </c>
      <c r="P9" s="14"/>
      <c r="Q9" s="51">
        <f>J9/F9*1000</f>
        <v>480.97833333333335</v>
      </c>
      <c r="R9" s="5"/>
      <c r="S9" s="55">
        <f>K9/F9*1000</f>
        <v>94.997500000000016</v>
      </c>
      <c r="T9" s="48">
        <f>I9/$F9*1000</f>
        <v>10.555277777777778</v>
      </c>
      <c r="U9" s="47">
        <f t="shared" ref="U9:V9" si="23">J9/$F9*1000</f>
        <v>480.97833333333335</v>
      </c>
      <c r="V9" s="56">
        <f t="shared" si="23"/>
        <v>94.997500000000016</v>
      </c>
      <c r="W9" s="50"/>
      <c r="X9" s="19">
        <f>AVERAGE(Y9:Y12)</f>
        <v>1.3021057735889856</v>
      </c>
      <c r="Y9" s="2">
        <f>EXP(Z9)</f>
        <v>1.7411794544068886</v>
      </c>
      <c r="Z9" s="15">
        <f>((605+47)/AA9)-1.89+0.15</f>
        <v>0.55456273095196218</v>
      </c>
      <c r="AA9">
        <f>AB9+273.15</f>
        <v>284.14999999999998</v>
      </c>
      <c r="AB9" s="8">
        <v>11</v>
      </c>
      <c r="AC9" s="16" t="s">
        <v>36</v>
      </c>
      <c r="AD9"/>
      <c r="AE9" s="9"/>
      <c r="AF9" s="3">
        <f>Y9*$AE$3</f>
        <v>15.089091669154147</v>
      </c>
      <c r="AG9" s="2">
        <f>AF9/AI$9</f>
        <v>10.059394446102765</v>
      </c>
      <c r="AH9" s="12">
        <f>AVERAGE(AF9:AF12)</f>
        <v>11.284071455639699</v>
      </c>
      <c r="AI9" s="5">
        <f>AI4</f>
        <v>1.5</v>
      </c>
      <c r="AJ9" s="57">
        <f>$AH9/AI9</f>
        <v>7.5227143037597992</v>
      </c>
      <c r="AL9" s="61"/>
      <c r="AM9"/>
      <c r="AN9" s="5">
        <f>AN4</f>
        <v>0.78</v>
      </c>
      <c r="AO9" s="57">
        <f>$AH9/AN9</f>
        <v>14.466758276461153</v>
      </c>
      <c r="AQ9" s="61"/>
      <c r="AS9" s="5">
        <f>AS4</f>
        <v>2.92</v>
      </c>
      <c r="AT9" s="57">
        <f>$AH9/AS9</f>
        <v>3.8644080327533219</v>
      </c>
      <c r="AV9" s="61"/>
      <c r="BC9" s="164"/>
      <c r="BE9" s="79"/>
      <c r="BF9" s="79"/>
      <c r="BG9" s="92">
        <v>4.2999999999999999E-4</v>
      </c>
      <c r="BH9" s="84" t="s">
        <v>128</v>
      </c>
      <c r="BI9" s="85" t="s">
        <v>112</v>
      </c>
      <c r="BJ9" s="85"/>
      <c r="BK9" s="85"/>
      <c r="BL9" s="85"/>
      <c r="BM9" s="85"/>
      <c r="BN9" s="83"/>
      <c r="BO9" s="93"/>
      <c r="BP9" s="93"/>
      <c r="BQ9" s="93"/>
      <c r="BR9" s="93"/>
      <c r="BS9"/>
      <c r="BU9" s="164"/>
      <c r="BW9" s="79" t="s">
        <v>5</v>
      </c>
      <c r="BX9" s="85" t="s">
        <v>134</v>
      </c>
      <c r="BY9" s="85">
        <v>3.33</v>
      </c>
      <c r="BZ9" s="85">
        <v>0.37</v>
      </c>
      <c r="CA9" s="85">
        <v>16.86</v>
      </c>
      <c r="CB9" s="79"/>
      <c r="CC9" s="85" t="s">
        <v>24</v>
      </c>
      <c r="CD9" s="85">
        <v>94.997500000000016</v>
      </c>
      <c r="CE9" s="85">
        <v>10.555277777777778</v>
      </c>
      <c r="CF9" s="85">
        <v>480.97833333333335</v>
      </c>
      <c r="CG9" s="79"/>
      <c r="CH9" s="133" t="s">
        <v>15</v>
      </c>
      <c r="CI9" s="44">
        <v>97</v>
      </c>
      <c r="CJ9">
        <f t="shared" si="1"/>
        <v>0.97</v>
      </c>
      <c r="CK9" s="6">
        <v>83</v>
      </c>
      <c r="CL9">
        <f t="shared" si="2"/>
        <v>0.83</v>
      </c>
      <c r="CM9" s="8" t="s">
        <v>215</v>
      </c>
      <c r="CN9" s="52">
        <f t="shared" si="8"/>
        <v>94.997500000000016</v>
      </c>
      <c r="CO9" s="52">
        <f t="shared" si="9"/>
        <v>10.555277777777778</v>
      </c>
      <c r="CP9" s="52">
        <f t="shared" si="10"/>
        <v>480.97833333333335</v>
      </c>
      <c r="CR9">
        <f t="shared" si="4"/>
        <v>1.9867717342662448</v>
      </c>
      <c r="CS9">
        <f t="shared" si="5"/>
        <v>1.919078092376074</v>
      </c>
      <c r="CU9"/>
      <c r="CV9" t="s">
        <v>14</v>
      </c>
      <c r="CW9" s="142">
        <f t="shared" si="6"/>
        <v>398.80266</v>
      </c>
      <c r="CX9"/>
      <c r="CY9"/>
      <c r="CZ9"/>
      <c r="DA9">
        <v>26.981539000000001</v>
      </c>
      <c r="DB9" s="4" t="s">
        <v>3</v>
      </c>
      <c r="DC9" s="135">
        <f>F7/1000</f>
        <v>1.0808179162609543E-4</v>
      </c>
      <c r="DD9" s="5">
        <f>K7</f>
        <v>0.01</v>
      </c>
      <c r="DE9" s="2">
        <f t="shared" si="16"/>
        <v>92.522522522522522</v>
      </c>
      <c r="DF9"/>
      <c r="DG9">
        <v>26.981539000000001</v>
      </c>
      <c r="DH9" s="134" t="s">
        <v>13</v>
      </c>
      <c r="DI9">
        <v>0.67500000000000004</v>
      </c>
      <c r="DJ9" s="11">
        <f t="shared" si="12"/>
        <v>0.53500000000000003</v>
      </c>
      <c r="DK9" s="98">
        <f>DJ9</f>
        <v>0.53500000000000003</v>
      </c>
      <c r="DL9">
        <f t="shared" si="17"/>
        <v>85419.018499511541</v>
      </c>
      <c r="DM9">
        <f t="shared" si="18"/>
        <v>2.5582576026747845</v>
      </c>
      <c r="DN9" s="142">
        <f t="shared" si="13"/>
        <v>2.9949508290000002E-5</v>
      </c>
      <c r="DO9"/>
      <c r="DP9" s="136">
        <v>0.2</v>
      </c>
      <c r="DQ9">
        <f t="shared" si="19"/>
        <v>51.165152053495689</v>
      </c>
      <c r="DR9" s="142">
        <f t="shared" si="14"/>
        <v>2.9949508290000002E-5</v>
      </c>
      <c r="DS9">
        <f t="shared" si="20"/>
        <v>1708380.3699902308</v>
      </c>
      <c r="DT9">
        <f t="shared" si="21"/>
        <v>6.2325845725569975</v>
      </c>
      <c r="DU9" s="144">
        <v>1.9</v>
      </c>
      <c r="DV9"/>
      <c r="DW9"/>
      <c r="DX9"/>
      <c r="DY9"/>
      <c r="DZ9"/>
      <c r="EA9"/>
      <c r="EB9"/>
      <c r="EC9">
        <v>26.981539000000001</v>
      </c>
      <c r="ED9" s="138" t="s">
        <v>13</v>
      </c>
      <c r="EE9" s="136"/>
      <c r="EF9"/>
      <c r="EG9"/>
      <c r="EH9"/>
      <c r="EI9"/>
      <c r="EJ9"/>
      <c r="EK9"/>
      <c r="EL9"/>
      <c r="EM9"/>
      <c r="EN9"/>
      <c r="EO9"/>
      <c r="EP9"/>
      <c r="EQ9"/>
    </row>
    <row r="10" spans="1:147" s="1" customFormat="1" x14ac:dyDescent="0.35">
      <c r="A10" s="1" t="s">
        <v>16</v>
      </c>
      <c r="B10" s="1">
        <v>5.4</v>
      </c>
      <c r="C10" s="1" t="s">
        <v>81</v>
      </c>
      <c r="D10" s="6">
        <v>65.38</v>
      </c>
      <c r="E10" s="6" t="s">
        <v>6</v>
      </c>
      <c r="F10" s="3">
        <f>B10/$B$3</f>
        <v>0.52580331061343721</v>
      </c>
      <c r="G10" s="1" t="s">
        <v>24</v>
      </c>
      <c r="H10" s="142">
        <f>(B10/1000000000)*D10*1000</f>
        <v>3.5305200000000002E-4</v>
      </c>
      <c r="I10" s="54">
        <v>0.67</v>
      </c>
      <c r="J10" s="14">
        <v>22.03</v>
      </c>
      <c r="K10" s="5">
        <v>1.91</v>
      </c>
      <c r="M10" s="3" t="s">
        <v>24</v>
      </c>
      <c r="O10" s="7">
        <f>I10/F10</f>
        <v>1.2742407407407408</v>
      </c>
      <c r="P10" s="14"/>
      <c r="Q10" s="14">
        <f>J10/F10</f>
        <v>41.897796296296299</v>
      </c>
      <c r="R10" s="5"/>
      <c r="S10" s="5">
        <f>K10/F10</f>
        <v>3.6325370370370367</v>
      </c>
      <c r="T10" s="48">
        <f>I10/$F10</f>
        <v>1.2742407407407408</v>
      </c>
      <c r="U10" s="47">
        <f t="shared" ref="U10:V12" si="24">J10/$F10</f>
        <v>41.897796296296299</v>
      </c>
      <c r="V10" s="56">
        <f t="shared" si="24"/>
        <v>3.6325370370370367</v>
      </c>
      <c r="W10" s="50"/>
      <c r="X10" s="20"/>
      <c r="Y10" s="2">
        <f>EXP(Z10)</f>
        <v>1.2507602165349077</v>
      </c>
      <c r="Z10" s="15">
        <f>((605-47)/AA10)-1.89+0.15</f>
        <v>0.22375153967974679</v>
      </c>
      <c r="AA10">
        <f>AB10+273.15</f>
        <v>284.14999999999998</v>
      </c>
      <c r="AB10" s="9">
        <f>AB9</f>
        <v>11</v>
      </c>
      <c r="AC10" s="10" t="s">
        <v>37</v>
      </c>
      <c r="AD10"/>
      <c r="AE10" s="9"/>
      <c r="AF10" s="2">
        <f>Y10*$AE$3</f>
        <v>10.839109958286931</v>
      </c>
      <c r="AG10" s="2">
        <f>AF10/AI$9</f>
        <v>7.2260733055246211</v>
      </c>
      <c r="AH10" s="12"/>
      <c r="AI10" s="5"/>
      <c r="AJ10" s="57"/>
      <c r="AL10" s="64"/>
      <c r="AM10"/>
      <c r="AN10" s="5"/>
      <c r="AO10" s="57"/>
      <c r="AQ10" s="64"/>
      <c r="AS10" s="5"/>
      <c r="AT10" s="57"/>
      <c r="AV10" s="64"/>
      <c r="BC10" s="164"/>
      <c r="BE10" s="79" t="s">
        <v>2</v>
      </c>
      <c r="BF10" s="79" t="s">
        <v>103</v>
      </c>
      <c r="BG10" s="92">
        <v>4.7199999999999998E-4</v>
      </c>
      <c r="BH10" s="84" t="s">
        <v>62</v>
      </c>
      <c r="BI10" s="85" t="s">
        <v>112</v>
      </c>
      <c r="BJ10" s="85">
        <v>0.38</v>
      </c>
      <c r="BK10" s="85">
        <v>0.1</v>
      </c>
      <c r="BL10" s="85">
        <v>0.86</v>
      </c>
      <c r="BM10" s="85"/>
      <c r="BN10" s="79" t="s">
        <v>23</v>
      </c>
      <c r="BO10" s="92">
        <v>7.4053130929791264E-5</v>
      </c>
      <c r="BP10" s="92">
        <v>1.9487666034155594E-5</v>
      </c>
      <c r="BQ10" s="92">
        <v>1.6759392789373812E-4</v>
      </c>
      <c r="BR10" s="93"/>
      <c r="BU10" s="164"/>
      <c r="BW10" s="79" t="s">
        <v>6</v>
      </c>
      <c r="BX10" s="85" t="s">
        <v>107</v>
      </c>
      <c r="BY10" s="85">
        <v>1.91</v>
      </c>
      <c r="BZ10" s="85">
        <v>0.67</v>
      </c>
      <c r="CA10" s="85">
        <v>22.03</v>
      </c>
      <c r="CB10" s="79"/>
      <c r="CC10" s="85" t="s">
        <v>24</v>
      </c>
      <c r="CD10" s="85">
        <v>3.6325370370370367</v>
      </c>
      <c r="CE10" s="85">
        <v>1.2742407407407408</v>
      </c>
      <c r="CF10" s="85">
        <v>41.897796296296299</v>
      </c>
      <c r="CG10" s="79"/>
      <c r="CH10" s="133" t="s">
        <v>16</v>
      </c>
      <c r="CI10" s="44">
        <v>88</v>
      </c>
      <c r="CJ10">
        <f t="shared" si="1"/>
        <v>0.88</v>
      </c>
      <c r="CK10" s="6">
        <v>74</v>
      </c>
      <c r="CL10">
        <f t="shared" si="2"/>
        <v>0.74</v>
      </c>
      <c r="CM10" s="8" t="s">
        <v>213</v>
      </c>
      <c r="CN10" s="52">
        <f t="shared" si="8"/>
        <v>3.6325370370370367</v>
      </c>
      <c r="CO10" s="52">
        <f t="shared" si="9"/>
        <v>1.2742407407407408</v>
      </c>
      <c r="CP10" s="52">
        <f t="shared" si="10"/>
        <v>41.897796296296299</v>
      </c>
      <c r="CR10">
        <f t="shared" si="4"/>
        <v>1.9444826721501687</v>
      </c>
      <c r="CS10">
        <f t="shared" si="5"/>
        <v>1.8692317197309762</v>
      </c>
      <c r="CT10">
        <v>3.2</v>
      </c>
      <c r="CU10"/>
      <c r="CV10" t="s">
        <v>15</v>
      </c>
      <c r="CW10" s="142">
        <f t="shared" si="6"/>
        <v>1.9777695839999997E-5</v>
      </c>
      <c r="CX10"/>
      <c r="CY10"/>
      <c r="CZ10"/>
      <c r="DA10">
        <v>39.098300000000002</v>
      </c>
      <c r="DB10" s="4" t="s">
        <v>4</v>
      </c>
      <c r="DC10" s="5">
        <f>F8*1000</f>
        <v>993.18403115871467</v>
      </c>
      <c r="DD10" s="5">
        <f>K8</f>
        <v>7.0000000000000007E-2</v>
      </c>
      <c r="DE10" s="15">
        <f t="shared" si="16"/>
        <v>7.0480392156862758E-5</v>
      </c>
      <c r="DF10"/>
      <c r="DG10">
        <v>39.098300000000002</v>
      </c>
      <c r="DH10" s="67" t="s">
        <v>14</v>
      </c>
      <c r="DI10">
        <v>1.52</v>
      </c>
      <c r="DJ10" s="11">
        <f t="shared" si="12"/>
        <v>1.38</v>
      </c>
      <c r="DK10" s="98">
        <v>1.55</v>
      </c>
      <c r="DL10">
        <f t="shared" si="17"/>
        <v>6.5069193504039682E-2</v>
      </c>
      <c r="DM10">
        <f t="shared" si="18"/>
        <v>25.949767453465746</v>
      </c>
      <c r="DN10" s="142">
        <f t="shared" si="13"/>
        <v>398.80266</v>
      </c>
      <c r="DO10"/>
      <c r="DP10" s="136">
        <v>0.28000000000000003</v>
      </c>
      <c r="DQ10">
        <f t="shared" si="19"/>
        <v>103.79906981386299</v>
      </c>
      <c r="DR10" s="142">
        <f t="shared" si="14"/>
        <v>398.80266</v>
      </c>
      <c r="DS10">
        <f t="shared" si="20"/>
        <v>0.26027677401615873</v>
      </c>
      <c r="DT10">
        <f t="shared" si="21"/>
        <v>-0.58456458474002382</v>
      </c>
      <c r="DU10" s="142">
        <v>398.80266</v>
      </c>
      <c r="DV10"/>
      <c r="DW10"/>
      <c r="DX10"/>
      <c r="DY10"/>
      <c r="DZ10"/>
      <c r="EA10"/>
      <c r="EB10"/>
      <c r="EC10">
        <v>39.098300000000002</v>
      </c>
      <c r="ED10" s="67" t="s">
        <v>14</v>
      </c>
      <c r="EE10" s="136"/>
      <c r="EF10"/>
      <c r="EG10"/>
      <c r="EH10" s="48">
        <f>CG89</f>
        <v>5.6666666666666664E-2</v>
      </c>
      <c r="EI10" s="48">
        <f>EH10</f>
        <v>5.6666666666666664E-2</v>
      </c>
      <c r="EJ10" s="123" t="s">
        <v>326</v>
      </c>
      <c r="EK10" s="15">
        <f>EH10</f>
        <v>5.6666666666666664E-2</v>
      </c>
      <c r="EL10"/>
      <c r="EM10" s="48">
        <f>EK10</f>
        <v>5.6666666666666664E-2</v>
      </c>
      <c r="EN10"/>
      <c r="EO10">
        <f>LOG(EM10,10)</f>
        <v>-1.2466723333413885</v>
      </c>
      <c r="EP10"/>
      <c r="EQ10"/>
    </row>
    <row r="11" spans="1:147" x14ac:dyDescent="0.35">
      <c r="A11" s="4" t="s">
        <v>17</v>
      </c>
      <c r="B11" s="4">
        <v>89</v>
      </c>
      <c r="C11" s="4" t="s">
        <v>77</v>
      </c>
      <c r="D11" s="4">
        <v>87.62</v>
      </c>
      <c r="E11" s="4" t="s">
        <v>7</v>
      </c>
      <c r="F11" s="5">
        <f t="shared" si="11"/>
        <v>8.6660175267770203</v>
      </c>
      <c r="G11" s="4" t="s">
        <v>23</v>
      </c>
      <c r="H11" s="142">
        <f>(B11/1000000)*D11*1000</f>
        <v>7.7981800000000003</v>
      </c>
      <c r="I11" s="52">
        <v>0.78</v>
      </c>
      <c r="J11" s="14">
        <v>2.92</v>
      </c>
      <c r="K11" s="5">
        <v>1.5</v>
      </c>
      <c r="M11" s="2" t="s">
        <v>23</v>
      </c>
      <c r="O11" s="7"/>
      <c r="P11" s="14">
        <f>F11/J11</f>
        <v>2.9678142214989798</v>
      </c>
      <c r="Q11" s="14"/>
      <c r="R11" s="5">
        <f>F11/K11</f>
        <v>5.7773450178513466</v>
      </c>
      <c r="S11" s="5"/>
      <c r="T11" s="48">
        <f>I11/$F11</f>
        <v>9.0006741573033719E-2</v>
      </c>
      <c r="U11" s="47">
        <f t="shared" si="24"/>
        <v>0.33694831460674157</v>
      </c>
      <c r="V11" s="56">
        <f>K11/$F11</f>
        <v>0.17308988764044944</v>
      </c>
      <c r="W11" s="48"/>
      <c r="X11" s="20"/>
      <c r="Y11" s="2">
        <f>EXP(Z11)</f>
        <v>0.92658595811287048</v>
      </c>
      <c r="Z11" s="15">
        <f>((605-47)/AA11)-1.89-0.15</f>
        <v>-7.6248460320253203E-2</v>
      </c>
      <c r="AA11">
        <f>AB11+273.15</f>
        <v>284.14999999999998</v>
      </c>
      <c r="AB11" s="9">
        <f>AB10</f>
        <v>11</v>
      </c>
      <c r="AC11" s="16" t="s">
        <v>38</v>
      </c>
      <c r="AE11" s="9"/>
      <c r="AF11" s="3">
        <f>Y11*$AE$3</f>
        <v>8.0298101530716135</v>
      </c>
      <c r="AG11" s="2">
        <f>AF11/AI$9</f>
        <v>5.3532067687144087</v>
      </c>
      <c r="AH11" s="12"/>
      <c r="AI11" s="5"/>
      <c r="AJ11" s="57"/>
      <c r="AL11" s="64"/>
      <c r="AN11" s="5"/>
      <c r="AO11" s="57"/>
      <c r="AP11" s="13"/>
      <c r="AQ11" s="64"/>
      <c r="AS11" s="5"/>
      <c r="AT11" s="57"/>
      <c r="AU11" s="13"/>
      <c r="AV11" s="64"/>
      <c r="BE11" s="1"/>
      <c r="BF11" s="1"/>
      <c r="BG11" s="92">
        <v>1.227E-3</v>
      </c>
      <c r="BH11" s="86" t="s">
        <v>156</v>
      </c>
      <c r="BI11" s="85" t="s">
        <v>169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W11" s="79" t="s">
        <v>7</v>
      </c>
      <c r="BX11" s="85" t="s">
        <v>108</v>
      </c>
      <c r="BY11" s="85">
        <v>1.5</v>
      </c>
      <c r="BZ11" s="85">
        <v>0.78</v>
      </c>
      <c r="CA11" s="85">
        <v>2.92</v>
      </c>
      <c r="CB11" s="85"/>
      <c r="CC11" s="85" t="s">
        <v>23</v>
      </c>
      <c r="CD11" s="85">
        <v>0.17308988764044944</v>
      </c>
      <c r="CE11" s="85">
        <v>9.0006741573033719E-2</v>
      </c>
      <c r="CF11" s="85">
        <v>0.33694831460674157</v>
      </c>
      <c r="CG11" s="79"/>
      <c r="CH11" s="133" t="s">
        <v>17</v>
      </c>
      <c r="CI11" s="44">
        <v>132</v>
      </c>
      <c r="CJ11">
        <f t="shared" si="1"/>
        <v>1.32</v>
      </c>
      <c r="CK11" s="6">
        <v>118</v>
      </c>
      <c r="CL11">
        <f t="shared" si="2"/>
        <v>1.18</v>
      </c>
      <c r="CM11" s="8" t="s">
        <v>213</v>
      </c>
      <c r="CN11" s="52">
        <f t="shared" si="8"/>
        <v>0.17308988764044944</v>
      </c>
      <c r="CO11" s="52">
        <f t="shared" si="9"/>
        <v>9.0006741573033719E-2</v>
      </c>
      <c r="CP11" s="52">
        <f t="shared" si="10"/>
        <v>0.33694831460674157</v>
      </c>
      <c r="CR11">
        <f t="shared" si="4"/>
        <v>2.12057393120585</v>
      </c>
      <c r="CS11">
        <f t="shared" si="5"/>
        <v>2.0718820073061255</v>
      </c>
      <c r="CT11">
        <v>1.176756442957642</v>
      </c>
      <c r="CV11" t="s">
        <v>16</v>
      </c>
      <c r="CW11" s="142">
        <f t="shared" si="6"/>
        <v>3.5305200000000002E-4</v>
      </c>
      <c r="DA11">
        <v>54.938043999999998</v>
      </c>
      <c r="DB11" s="4" t="s">
        <v>5</v>
      </c>
      <c r="DC11" s="56">
        <f>F9/1000000</f>
        <v>3.5053554040895808E-5</v>
      </c>
      <c r="DD11" s="135">
        <f>K9/1000</f>
        <v>3.3300000000000001E-3</v>
      </c>
      <c r="DE11" s="2">
        <f t="shared" si="16"/>
        <v>94.997500000000016</v>
      </c>
      <c r="DG11">
        <v>54.938043999999998</v>
      </c>
      <c r="DH11" s="133" t="s">
        <v>15</v>
      </c>
      <c r="DI11">
        <v>0.97</v>
      </c>
      <c r="DJ11" s="11">
        <f t="shared" si="12"/>
        <v>0.83</v>
      </c>
      <c r="DK11" s="98">
        <f>DJ11</f>
        <v>0.83</v>
      </c>
      <c r="DL11">
        <f t="shared" si="17"/>
        <v>87703.977244373469</v>
      </c>
      <c r="DM11">
        <f t="shared" si="18"/>
        <v>1.7345825858974997</v>
      </c>
      <c r="DN11" s="142">
        <f t="shared" si="13"/>
        <v>1.9777695839999997E-5</v>
      </c>
      <c r="DP11" s="136">
        <v>1.686E-2</v>
      </c>
      <c r="DQ11">
        <f t="shared" si="19"/>
        <v>8.7823010204900456</v>
      </c>
      <c r="DR11" s="142">
        <f t="shared" si="14"/>
        <v>1.9777695839999997E-5</v>
      </c>
      <c r="DS11">
        <f t="shared" si="20"/>
        <v>444050.76766971085</v>
      </c>
      <c r="DT11">
        <f t="shared" si="21"/>
        <v>5.6474326252011098</v>
      </c>
      <c r="DU11" s="144">
        <v>0.01</v>
      </c>
      <c r="EC11">
        <v>54.938043999999998</v>
      </c>
      <c r="ED11" s="137" t="s">
        <v>15</v>
      </c>
      <c r="EE11" s="136"/>
    </row>
    <row r="12" spans="1:147" s="1" customFormat="1" x14ac:dyDescent="0.35">
      <c r="A12" s="1" t="s">
        <v>18</v>
      </c>
      <c r="B12" s="1">
        <v>109</v>
      </c>
      <c r="C12" s="1" t="s">
        <v>81</v>
      </c>
      <c r="D12" s="6">
        <v>137.327</v>
      </c>
      <c r="E12" s="6" t="s">
        <v>8</v>
      </c>
      <c r="F12" s="3">
        <f t="shared" si="11"/>
        <v>10.613437195715678</v>
      </c>
      <c r="G12" s="1" t="s">
        <v>24</v>
      </c>
      <c r="H12" s="142">
        <f>(B12/1000000000)*D12*1000</f>
        <v>1.4968642999999998E-2</v>
      </c>
      <c r="I12" s="54">
        <v>0.76</v>
      </c>
      <c r="J12" s="14">
        <v>29.24</v>
      </c>
      <c r="K12" s="5">
        <v>5.7</v>
      </c>
      <c r="L12" s="37">
        <v>2</v>
      </c>
      <c r="M12" s="3" t="s">
        <v>24</v>
      </c>
      <c r="N12" s="2">
        <f>F12/I12</f>
        <v>13.965048941731155</v>
      </c>
      <c r="O12" s="7"/>
      <c r="P12" s="14">
        <f>F12/J12</f>
        <v>0.36297664828028997</v>
      </c>
      <c r="Q12" s="14">
        <f>J12/F12</f>
        <v>2.7549981651376143</v>
      </c>
      <c r="R12" s="5">
        <f>F12/K12</f>
        <v>1.862006525564154</v>
      </c>
      <c r="S12" s="5"/>
      <c r="T12" s="48">
        <f>I12/$F12</f>
        <v>7.1607339449541285E-2</v>
      </c>
      <c r="U12" s="47">
        <f t="shared" si="24"/>
        <v>2.7549981651376143</v>
      </c>
      <c r="V12" s="56">
        <f t="shared" si="24"/>
        <v>0.53705504587155961</v>
      </c>
      <c r="W12" s="50"/>
      <c r="X12" s="20"/>
      <c r="Y12" s="2">
        <f>EXP(Z12)</f>
        <v>1.2898974653012754</v>
      </c>
      <c r="Z12" s="15">
        <f>((605+47)/AA12)-1.89-0.15</f>
        <v>0.25456273095196214</v>
      </c>
      <c r="AA12">
        <f>AB12+273.15</f>
        <v>284.14999999999998</v>
      </c>
      <c r="AB12" s="9">
        <f>AB11</f>
        <v>11</v>
      </c>
      <c r="AC12" s="10" t="s">
        <v>39</v>
      </c>
      <c r="AD12"/>
      <c r="AE12" s="9"/>
      <c r="AF12" s="2">
        <f>Y12*$AE$3</f>
        <v>11.178274042046105</v>
      </c>
      <c r="AG12" s="2">
        <f>AF12/AI$9</f>
        <v>7.4521826946974032</v>
      </c>
      <c r="AH12" s="12"/>
      <c r="AI12" s="5"/>
      <c r="AJ12" s="57"/>
      <c r="AL12" s="64"/>
      <c r="AM12"/>
      <c r="AN12" s="5"/>
      <c r="AO12" s="57"/>
      <c r="AQ12" s="64"/>
      <c r="AS12" s="5"/>
      <c r="AT12" s="57"/>
      <c r="AV12" s="64"/>
      <c r="BC12" s="164"/>
      <c r="BE12" s="79"/>
      <c r="BF12" s="79"/>
      <c r="BG12" s="92">
        <v>2.367479090582528E-3</v>
      </c>
      <c r="BH12" s="86" t="s">
        <v>111</v>
      </c>
      <c r="BI12" s="79" t="s">
        <v>151</v>
      </c>
      <c r="BJ12" s="85"/>
      <c r="BK12" s="85"/>
      <c r="BL12" s="85"/>
      <c r="BM12" s="85"/>
      <c r="BN12" s="83"/>
      <c r="BO12" s="93"/>
      <c r="BP12" s="93"/>
      <c r="BQ12" s="93"/>
      <c r="BR12" s="93"/>
      <c r="BS12"/>
      <c r="BU12" s="164"/>
      <c r="BW12" s="79" t="s">
        <v>8</v>
      </c>
      <c r="BX12" s="85" t="s">
        <v>109</v>
      </c>
      <c r="BY12" s="85">
        <v>5.7</v>
      </c>
      <c r="BZ12" s="85">
        <v>0.76</v>
      </c>
      <c r="CA12" s="85">
        <v>29.24</v>
      </c>
      <c r="CB12" s="126">
        <v>2</v>
      </c>
      <c r="CC12" s="85" t="s">
        <v>24</v>
      </c>
      <c r="CD12" s="85">
        <v>0.53705504587155961</v>
      </c>
      <c r="CE12" s="85">
        <v>7.1607339449541285E-2</v>
      </c>
      <c r="CF12" s="85">
        <v>2.7549981651376143</v>
      </c>
      <c r="CG12" s="79">
        <v>0.19</v>
      </c>
      <c r="CH12" s="133" t="s">
        <v>18</v>
      </c>
      <c r="CI12" s="44">
        <v>149</v>
      </c>
      <c r="CJ12">
        <f t="shared" si="1"/>
        <v>1.49</v>
      </c>
      <c r="CK12" s="6">
        <v>135</v>
      </c>
      <c r="CL12">
        <f t="shared" si="2"/>
        <v>1.35</v>
      </c>
      <c r="CM12" s="8" t="s">
        <v>213</v>
      </c>
      <c r="CN12" s="52">
        <f t="shared" si="8"/>
        <v>0.53705504587155961</v>
      </c>
      <c r="CO12" s="52">
        <f t="shared" si="9"/>
        <v>7.1607339449541285E-2</v>
      </c>
      <c r="CP12" s="52">
        <f>CF12</f>
        <v>2.7549981651376143</v>
      </c>
      <c r="CQ12" s="52">
        <f>CG12</f>
        <v>0.19</v>
      </c>
      <c r="CR12">
        <f t="shared" si="4"/>
        <v>2.173186268412274</v>
      </c>
      <c r="CS12">
        <f t="shared" si="5"/>
        <v>2.1303337684950061</v>
      </c>
      <c r="CT12">
        <v>2.7682604672204389</v>
      </c>
      <c r="CU12"/>
      <c r="CV12" t="s">
        <v>17</v>
      </c>
      <c r="CW12" s="142">
        <f t="shared" si="6"/>
        <v>7.7981800000000003</v>
      </c>
      <c r="CX12"/>
      <c r="CY12"/>
      <c r="CZ12"/>
      <c r="DA12">
        <v>65.38</v>
      </c>
      <c r="DB12" s="4" t="s">
        <v>6</v>
      </c>
      <c r="DC12" s="135">
        <f>F10/1000</f>
        <v>5.2580331061343724E-4</v>
      </c>
      <c r="DD12" s="135">
        <f>K10/1000</f>
        <v>1.91E-3</v>
      </c>
      <c r="DE12" s="2">
        <f t="shared" si="16"/>
        <v>3.6325370370370367</v>
      </c>
      <c r="DF12"/>
      <c r="DG12">
        <v>65.38</v>
      </c>
      <c r="DH12" s="133" t="s">
        <v>16</v>
      </c>
      <c r="DI12">
        <v>0.88</v>
      </c>
      <c r="DJ12" s="11">
        <f t="shared" si="12"/>
        <v>0.74</v>
      </c>
      <c r="DK12" s="98">
        <v>0.9</v>
      </c>
      <c r="DL12">
        <f t="shared" si="17"/>
        <v>3353.6455763113772</v>
      </c>
      <c r="DM12">
        <f t="shared" si="18"/>
        <v>1.1840112780078844</v>
      </c>
      <c r="DN12" s="142">
        <f t="shared" si="13"/>
        <v>3.5305200000000002E-4</v>
      </c>
      <c r="DO12"/>
      <c r="DP12" s="136">
        <v>2.2030000000000001E-2</v>
      </c>
      <c r="DQ12">
        <f t="shared" si="19"/>
        <v>13.6564232746145</v>
      </c>
      <c r="DR12" s="142">
        <f t="shared" si="14"/>
        <v>3.5305200000000002E-4</v>
      </c>
      <c r="DS12">
        <f t="shared" si="20"/>
        <v>38681.05342729824</v>
      </c>
      <c r="DT12">
        <f t="shared" si="21"/>
        <v>4.5874982930074726</v>
      </c>
      <c r="DU12" s="144">
        <v>1.4E-2</v>
      </c>
      <c r="DV12"/>
      <c r="DW12"/>
      <c r="DX12"/>
      <c r="DY12"/>
      <c r="DZ12"/>
      <c r="EA12"/>
      <c r="EB12"/>
      <c r="EC12">
        <v>65.38</v>
      </c>
      <c r="ED12" s="133" t="s">
        <v>16</v>
      </c>
      <c r="EE12" s="136"/>
      <c r="EF12"/>
      <c r="EG12"/>
      <c r="EH12">
        <f>CQ151</f>
        <v>6950.5507738171427</v>
      </c>
      <c r="EI12">
        <f>EH12</f>
        <v>6950.5507738171427</v>
      </c>
      <c r="EJ12"/>
      <c r="EK12">
        <f>EH12</f>
        <v>6950.5507738171427</v>
      </c>
      <c r="EL12" s="106" t="s">
        <v>286</v>
      </c>
      <c r="EM12">
        <f>EK12</f>
        <v>6950.5507738171427</v>
      </c>
      <c r="EN12" s="106" t="s">
        <v>286</v>
      </c>
      <c r="EO12">
        <f>LOG(EM12,10)</f>
        <v>3.8420192202091172</v>
      </c>
      <c r="EP12"/>
      <c r="EQ12"/>
    </row>
    <row r="13" spans="1:147" s="1" customFormat="1" x14ac:dyDescent="0.35">
      <c r="A13" s="13" t="s">
        <v>19</v>
      </c>
      <c r="B13" s="13">
        <v>13</v>
      </c>
      <c r="C13" s="13" t="s">
        <v>79</v>
      </c>
      <c r="D13" s="6">
        <v>207.2</v>
      </c>
      <c r="E13" s="6" t="s">
        <v>9</v>
      </c>
      <c r="F13" s="14">
        <f t="shared" si="11"/>
        <v>1.2658227848101267</v>
      </c>
      <c r="G13" s="13" t="s">
        <v>80</v>
      </c>
      <c r="H13" s="142">
        <f>(B13/1000000000000)*D13*1000</f>
        <v>2.6935999999999999E-6</v>
      </c>
      <c r="I13" s="54">
        <v>0.03</v>
      </c>
      <c r="J13" s="14">
        <v>2.64</v>
      </c>
      <c r="K13" s="5">
        <v>0.09</v>
      </c>
      <c r="M13" s="3" t="s">
        <v>24</v>
      </c>
      <c r="O13" s="7">
        <f>I13/F13*1000</f>
        <v>23.7</v>
      </c>
      <c r="P13" s="14"/>
      <c r="Q13" s="51">
        <f>J13/F13*1000</f>
        <v>2085.6</v>
      </c>
      <c r="R13" s="5"/>
      <c r="S13" s="55">
        <f>K13/F13*1000</f>
        <v>71.099999999999994</v>
      </c>
      <c r="T13" s="48">
        <f>I13/$F13*1000</f>
        <v>23.7</v>
      </c>
      <c r="U13" s="47">
        <f t="shared" ref="U13:V13" si="25">J13/$F13*1000</f>
        <v>2085.6</v>
      </c>
      <c r="V13" s="56">
        <f t="shared" si="25"/>
        <v>71.099999999999994</v>
      </c>
      <c r="W13" s="50"/>
      <c r="X13" s="18"/>
      <c r="Y13"/>
      <c r="Z13" s="15"/>
      <c r="AA13"/>
      <c r="AB13"/>
      <c r="AC13"/>
      <c r="AD13"/>
      <c r="AE13" s="9"/>
      <c r="AF13"/>
      <c r="AG13"/>
      <c r="AH13" s="11"/>
      <c r="AI13" s="4"/>
      <c r="AJ13" s="57"/>
      <c r="AL13" s="64"/>
      <c r="AM13"/>
      <c r="AN13" s="4"/>
      <c r="AO13" s="57"/>
      <c r="AQ13" s="64"/>
      <c r="AS13" s="4"/>
      <c r="AT13" s="57"/>
      <c r="AV13" s="64"/>
      <c r="BC13" s="164"/>
      <c r="BE13" s="79"/>
      <c r="BF13" s="79"/>
      <c r="BG13" s="92">
        <v>1.8935009055317238E-3</v>
      </c>
      <c r="BH13" s="86" t="s">
        <v>111</v>
      </c>
      <c r="BI13" s="79" t="s">
        <v>152</v>
      </c>
      <c r="BJ13" s="85"/>
      <c r="BK13" s="85"/>
      <c r="BL13" s="85"/>
      <c r="BM13" s="85"/>
      <c r="BN13" s="83"/>
      <c r="BO13" s="79"/>
      <c r="BP13" s="79"/>
      <c r="BQ13" s="83"/>
      <c r="BR13" s="83"/>
      <c r="BU13" s="164"/>
      <c r="BW13" s="79" t="s">
        <v>9</v>
      </c>
      <c r="BX13" s="85" t="s">
        <v>110</v>
      </c>
      <c r="BY13" s="85">
        <v>0.09</v>
      </c>
      <c r="BZ13" s="85">
        <v>0.03</v>
      </c>
      <c r="CA13" s="85">
        <v>2.64</v>
      </c>
      <c r="CB13" s="79"/>
      <c r="CC13" s="85" t="s">
        <v>24</v>
      </c>
      <c r="CD13" s="85">
        <v>71.099999999999994</v>
      </c>
      <c r="CE13" s="85">
        <v>23.7</v>
      </c>
      <c r="CF13" s="85">
        <v>2085.6</v>
      </c>
      <c r="CG13" s="79"/>
      <c r="CH13" s="133" t="s">
        <v>19</v>
      </c>
      <c r="CI13" s="44">
        <v>133</v>
      </c>
      <c r="CJ13">
        <f t="shared" si="1"/>
        <v>1.33</v>
      </c>
      <c r="CK13" s="6">
        <v>119</v>
      </c>
      <c r="CL13">
        <f t="shared" si="2"/>
        <v>1.19</v>
      </c>
      <c r="CM13" s="8" t="s">
        <v>213</v>
      </c>
      <c r="CN13" s="52">
        <f t="shared" si="8"/>
        <v>71.099999999999994</v>
      </c>
      <c r="CO13" s="52">
        <f t="shared" si="9"/>
        <v>23.7</v>
      </c>
      <c r="CP13" s="52">
        <f t="shared" si="10"/>
        <v>2085.6</v>
      </c>
      <c r="CR13">
        <f t="shared" si="4"/>
        <v>2.1238516409670858</v>
      </c>
      <c r="CS13">
        <f t="shared" si="5"/>
        <v>2.0755469613925306</v>
      </c>
      <c r="CU13"/>
      <c r="CV13" t="s">
        <v>18</v>
      </c>
      <c r="CW13" s="142">
        <f t="shared" si="6"/>
        <v>1.4968642999999998E-2</v>
      </c>
      <c r="CX13"/>
      <c r="CY13"/>
      <c r="CZ13"/>
      <c r="DA13">
        <v>87.62</v>
      </c>
      <c r="DB13" s="4" t="s">
        <v>7</v>
      </c>
      <c r="DC13" s="5">
        <v>8.6660175267770203</v>
      </c>
      <c r="DD13" s="5">
        <f>K11</f>
        <v>1.5</v>
      </c>
      <c r="DE13" s="2">
        <f t="shared" si="16"/>
        <v>0.17308988764044944</v>
      </c>
      <c r="DF13"/>
      <c r="DG13">
        <v>87.62</v>
      </c>
      <c r="DH13" s="133" t="s">
        <v>17</v>
      </c>
      <c r="DI13">
        <v>1.32</v>
      </c>
      <c r="DJ13" s="11">
        <f t="shared" si="12"/>
        <v>1.18</v>
      </c>
      <c r="DK13" s="98">
        <v>1.31</v>
      </c>
      <c r="DL13">
        <f>DM13/DN13</f>
        <v>159.80074809178282</v>
      </c>
      <c r="DM13">
        <f t="shared" si="18"/>
        <v>1246.1549977543791</v>
      </c>
      <c r="DN13" s="142">
        <f t="shared" si="13"/>
        <v>7.7981800000000003</v>
      </c>
      <c r="DO13"/>
      <c r="DP13" s="136">
        <v>2.92</v>
      </c>
      <c r="DQ13">
        <f t="shared" si="19"/>
        <v>2425.848395628524</v>
      </c>
      <c r="DR13" s="142">
        <f t="shared" si="14"/>
        <v>7.7981800000000003</v>
      </c>
      <c r="DS13">
        <f>DQ13/DR13</f>
        <v>311.0787896186705</v>
      </c>
      <c r="DT13">
        <f t="shared" si="21"/>
        <v>2.4928704004831799</v>
      </c>
      <c r="DU13" s="144">
        <v>13</v>
      </c>
      <c r="DV13"/>
      <c r="DW13"/>
      <c r="DX13"/>
      <c r="DY13"/>
      <c r="DZ13"/>
      <c r="EA13"/>
      <c r="EB13"/>
      <c r="EC13">
        <v>87.62</v>
      </c>
      <c r="ED13" s="133" t="s">
        <v>17</v>
      </c>
      <c r="EE13" s="13">
        <f>DB40</f>
        <v>3.1438238732284547</v>
      </c>
      <c r="EF13">
        <f>DF40</f>
        <v>2554.61</v>
      </c>
      <c r="EG13">
        <f>DH40</f>
        <v>3.83</v>
      </c>
      <c r="EH13">
        <f t="shared" ref="EH13:EH16" si="26">EF13/EG13</f>
        <v>667</v>
      </c>
      <c r="EI13" s="44">
        <f>BY129</f>
        <v>2377.7602945090407</v>
      </c>
      <c r="EJ13" s="106" t="s">
        <v>285</v>
      </c>
      <c r="EK13" s="141">
        <f>CP39</f>
        <v>1151.3580008379381</v>
      </c>
      <c r="EL13" s="106" t="s">
        <v>256</v>
      </c>
      <c r="EM13" s="44">
        <f>EK13</f>
        <v>1151.3580008379381</v>
      </c>
      <c r="EN13" s="106" t="s">
        <v>256</v>
      </c>
      <c r="EO13">
        <f>LOG(EM13,10)</f>
        <v>3.0612103832422668</v>
      </c>
      <c r="EP13"/>
      <c r="EQ13"/>
    </row>
    <row r="14" spans="1:147" x14ac:dyDescent="0.35">
      <c r="A14" s="6" t="s">
        <v>55</v>
      </c>
      <c r="B14" s="4">
        <v>25.9</v>
      </c>
      <c r="C14" s="4" t="s">
        <v>77</v>
      </c>
      <c r="D14" s="6">
        <v>6.9409999999999998</v>
      </c>
      <c r="E14" s="6" t="s">
        <v>56</v>
      </c>
      <c r="F14" s="5">
        <f>B14/$B$3</f>
        <v>2.5219084712755597</v>
      </c>
      <c r="G14" s="4" t="s">
        <v>23</v>
      </c>
      <c r="H14" s="142">
        <f>(B14/1000000)*D14*1000</f>
        <v>0.17977189999999998</v>
      </c>
      <c r="I14"/>
      <c r="J14" s="2"/>
      <c r="K14" s="14"/>
      <c r="M14" s="2"/>
      <c r="X14" s="21"/>
      <c r="Y14" s="1"/>
      <c r="Z14" s="1"/>
      <c r="AA14" s="1"/>
      <c r="AB14" s="1"/>
      <c r="AC14" s="1"/>
      <c r="AD14" s="1"/>
      <c r="AE14" s="81"/>
      <c r="AF14" s="1"/>
      <c r="AG14" s="1"/>
      <c r="AH14" s="1"/>
      <c r="AI14" s="4"/>
      <c r="AJ14" s="57"/>
      <c r="AL14" s="64"/>
      <c r="AN14" s="4"/>
      <c r="AO14" s="57"/>
      <c r="AP14" s="13"/>
      <c r="AQ14" s="64"/>
      <c r="AS14" s="4"/>
      <c r="AT14" s="57"/>
      <c r="AU14" s="13"/>
      <c r="AV14" s="64"/>
      <c r="BG14" s="92">
        <v>1.3740934341415515E-3</v>
      </c>
      <c r="BH14" s="86" t="s">
        <v>111</v>
      </c>
      <c r="BI14" s="79" t="s">
        <v>153</v>
      </c>
      <c r="BJ14" s="85"/>
      <c r="BK14" s="85"/>
      <c r="BL14" s="85"/>
      <c r="BM14" s="85"/>
      <c r="BN14" s="83"/>
      <c r="BQ14" s="83"/>
      <c r="BR14" s="83"/>
      <c r="BS14" s="1"/>
      <c r="BW14" s="79"/>
      <c r="BX14" s="85"/>
      <c r="BY14" s="79"/>
      <c r="BZ14" s="85"/>
      <c r="CA14" s="85"/>
      <c r="CB14" s="85"/>
      <c r="CC14" s="85"/>
      <c r="CD14" s="79"/>
      <c r="CE14" s="79"/>
      <c r="CF14" s="79"/>
      <c r="CH14" s="133" t="s">
        <v>20</v>
      </c>
      <c r="CI14" s="44">
        <v>114</v>
      </c>
      <c r="CJ14">
        <f t="shared" si="1"/>
        <v>1.1399999999999999</v>
      </c>
      <c r="CK14" s="6">
        <v>100</v>
      </c>
      <c r="CL14">
        <f t="shared" si="2"/>
        <v>1</v>
      </c>
      <c r="CM14" s="8" t="s">
        <v>213</v>
      </c>
      <c r="CN14" s="52">
        <v>1000</v>
      </c>
      <c r="CO14" s="52">
        <v>1000</v>
      </c>
      <c r="CP14" s="52">
        <v>1000</v>
      </c>
      <c r="CR14">
        <f t="shared" si="4"/>
        <v>2.0569048513364727</v>
      </c>
      <c r="CS14">
        <f t="shared" si="5"/>
        <v>2</v>
      </c>
      <c r="CT14">
        <v>1000</v>
      </c>
      <c r="CV14" t="s">
        <v>19</v>
      </c>
      <c r="CW14" s="142">
        <f t="shared" si="6"/>
        <v>2.6935999999999999E-6</v>
      </c>
      <c r="DA14">
        <v>137.327</v>
      </c>
      <c r="DB14" s="4" t="s">
        <v>8</v>
      </c>
      <c r="DC14" s="135">
        <f>F12/1000</f>
        <v>1.0613437195715678E-2</v>
      </c>
      <c r="DD14" s="135">
        <f>K12/1000</f>
        <v>5.7000000000000002E-3</v>
      </c>
      <c r="DE14" s="2">
        <f t="shared" si="16"/>
        <v>0.53705504587155961</v>
      </c>
      <c r="DG14">
        <v>137.327</v>
      </c>
      <c r="DH14" s="133" t="s">
        <v>18</v>
      </c>
      <c r="DI14">
        <v>1.49</v>
      </c>
      <c r="DJ14" s="11">
        <f t="shared" si="12"/>
        <v>1.35</v>
      </c>
      <c r="DK14" s="98">
        <v>1.47</v>
      </c>
      <c r="DL14">
        <f t="shared" si="17"/>
        <v>495.82213765725646</v>
      </c>
      <c r="DM14">
        <f t="shared" si="18"/>
        <v>7.4217845700883274</v>
      </c>
      <c r="DN14" s="142">
        <f t="shared" si="13"/>
        <v>1.4968642999999998E-2</v>
      </c>
      <c r="DP14" s="136">
        <v>2.9239999999999999E-2</v>
      </c>
      <c r="DQ14">
        <f t="shared" si="19"/>
        <v>38.072452777084678</v>
      </c>
      <c r="DR14" s="142">
        <f t="shared" si="14"/>
        <v>1.4968642999999998E-2</v>
      </c>
      <c r="DS14">
        <f t="shared" si="20"/>
        <v>2543.4805798417856</v>
      </c>
      <c r="DT14">
        <f t="shared" si="21"/>
        <v>3.4054284260248733</v>
      </c>
      <c r="DU14" s="144">
        <v>0.05</v>
      </c>
      <c r="DV14" t="s">
        <v>240</v>
      </c>
      <c r="DW14" s="136">
        <f>2/1000</f>
        <v>2E-3</v>
      </c>
      <c r="DX14">
        <f>DW14/1000*DG14*380000/40.078</f>
        <v>2.6041349368730971</v>
      </c>
      <c r="DY14">
        <v>1.4968642999999998E-2</v>
      </c>
      <c r="DZ14">
        <f t="shared" ref="DZ14" si="27">DX14/DY14</f>
        <v>173.97267987973908</v>
      </c>
      <c r="EA14">
        <f>LOG(DZ14,10)</f>
        <v>2.2404810534030317</v>
      </c>
      <c r="EC14">
        <v>137.327</v>
      </c>
      <c r="ED14" s="133" t="s">
        <v>18</v>
      </c>
      <c r="EE14" s="13">
        <f>DB41</f>
        <v>9.9510502171493535E-3</v>
      </c>
      <c r="EF14">
        <f>DF41</f>
        <v>12.673249999999999</v>
      </c>
      <c r="EG14">
        <f>DH41</f>
        <v>3.1099999999999999E-3</v>
      </c>
      <c r="EH14">
        <f t="shared" si="26"/>
        <v>4075</v>
      </c>
      <c r="EI14" s="44">
        <f>CA129</f>
        <v>1845.7711442786069</v>
      </c>
      <c r="EJ14" s="106" t="s">
        <v>285</v>
      </c>
      <c r="EK14">
        <f>EH14</f>
        <v>4075</v>
      </c>
      <c r="EL14" s="106" t="s">
        <v>284</v>
      </c>
      <c r="EM14" s="44">
        <f>EI14</f>
        <v>1845.7711442786069</v>
      </c>
      <c r="EN14" s="106" t="s">
        <v>285</v>
      </c>
      <c r="EO14">
        <f>LOG(EM14,10)</f>
        <v>3.2661778521945566</v>
      </c>
    </row>
    <row r="15" spans="1:147" x14ac:dyDescent="0.35">
      <c r="A15" s="1" t="s">
        <v>57</v>
      </c>
      <c r="B15" s="1">
        <v>13.4</v>
      </c>
      <c r="C15" s="1" t="s">
        <v>81</v>
      </c>
      <c r="D15" s="6">
        <v>238.02891</v>
      </c>
      <c r="E15" s="6" t="s">
        <v>58</v>
      </c>
      <c r="F15" s="3">
        <f t="shared" si="11"/>
        <v>1.3047711781888998</v>
      </c>
      <c r="G15" s="1" t="s">
        <v>24</v>
      </c>
      <c r="H15" s="142">
        <f>(B15/1000000000)*D15*1000</f>
        <v>3.189587394E-3</v>
      </c>
      <c r="I15"/>
      <c r="J15" s="2"/>
      <c r="K15" s="14"/>
      <c r="L15" s="3" t="s">
        <v>141</v>
      </c>
      <c r="M15" s="3" t="s">
        <v>70</v>
      </c>
      <c r="Y15" t="s">
        <v>42</v>
      </c>
      <c r="Z15" s="15" t="s">
        <v>31</v>
      </c>
      <c r="AA15" t="s">
        <v>32</v>
      </c>
      <c r="AB15" t="s">
        <v>33</v>
      </c>
      <c r="AE15" s="80">
        <f>F6*1000</f>
        <v>5131.4508276533597</v>
      </c>
      <c r="AF15" t="s">
        <v>23</v>
      </c>
      <c r="AG15" s="6"/>
      <c r="AI15" s="4"/>
      <c r="AJ15" s="57"/>
      <c r="AL15" s="64"/>
      <c r="AN15" s="4"/>
      <c r="AO15" s="57"/>
      <c r="AP15" s="13"/>
      <c r="AQ15" s="64"/>
      <c r="AS15" s="4"/>
      <c r="AT15" s="57"/>
      <c r="AU15" s="13"/>
      <c r="AV15" s="64"/>
      <c r="BG15" s="92">
        <v>1.49E-2</v>
      </c>
      <c r="BH15" s="86" t="s">
        <v>111</v>
      </c>
      <c r="BI15" s="79" t="s">
        <v>115</v>
      </c>
      <c r="BJ15" s="85"/>
      <c r="BK15" s="85"/>
      <c r="BL15" s="85"/>
      <c r="BM15" s="85"/>
      <c r="BN15" s="83"/>
      <c r="BZ15" s="2"/>
      <c r="CA15" s="14"/>
      <c r="CC15" s="2"/>
      <c r="DA15">
        <v>207.2</v>
      </c>
      <c r="DB15" s="4" t="s">
        <v>9</v>
      </c>
      <c r="DC15" s="56">
        <f>F13/1000000</f>
        <v>1.2658227848101267E-6</v>
      </c>
      <c r="DD15" s="135">
        <f>K13/1000</f>
        <v>8.9999999999999992E-5</v>
      </c>
      <c r="DE15" s="2">
        <f t="shared" si="16"/>
        <v>71.09999999999998</v>
      </c>
      <c r="DG15">
        <v>207.2</v>
      </c>
      <c r="DH15" s="133" t="s">
        <v>19</v>
      </c>
      <c r="DI15">
        <v>1.33</v>
      </c>
      <c r="DJ15" s="11">
        <f t="shared" si="12"/>
        <v>1.19</v>
      </c>
      <c r="DK15" s="98">
        <v>1.35</v>
      </c>
      <c r="DL15">
        <f>DM15/DN15</f>
        <v>65641.230370009245</v>
      </c>
      <c r="DM15">
        <f t="shared" si="18"/>
        <v>0.17681121812465689</v>
      </c>
      <c r="DN15" s="142">
        <f t="shared" si="13"/>
        <v>2.6935999999999999E-6</v>
      </c>
      <c r="DP15" s="136">
        <v>2.64E-3</v>
      </c>
      <c r="DQ15">
        <f t="shared" si="19"/>
        <v>5.1864623983232692</v>
      </c>
      <c r="DR15" s="142">
        <f t="shared" si="14"/>
        <v>2.6935999999999999E-6</v>
      </c>
      <c r="DS15">
        <f t="shared" si="20"/>
        <v>1925476.0908536045</v>
      </c>
      <c r="DT15">
        <f t="shared" si="21"/>
        <v>6.2845381302426677</v>
      </c>
      <c r="DU15" s="144">
        <v>5.0000000000000001E-3</v>
      </c>
      <c r="EC15">
        <v>207.2</v>
      </c>
      <c r="ED15" s="137" t="s">
        <v>19</v>
      </c>
      <c r="EE15" s="136"/>
    </row>
    <row r="16" spans="1:147" x14ac:dyDescent="0.35">
      <c r="A16" s="98" t="s">
        <v>127</v>
      </c>
      <c r="B16" s="98"/>
      <c r="C16" s="98"/>
      <c r="D16" s="98"/>
      <c r="E16" s="98" t="s">
        <v>127</v>
      </c>
      <c r="F16" s="98">
        <f>0.04*1000</f>
        <v>40</v>
      </c>
      <c r="G16" s="98" t="s">
        <v>23</v>
      </c>
      <c r="H16" s="98"/>
      <c r="L16" s="3">
        <f>F12/L12</f>
        <v>5.3067185978578388</v>
      </c>
      <c r="M16" s="3">
        <f>L12/$F12</f>
        <v>0.18844036697247704</v>
      </c>
      <c r="X16" s="22">
        <f>AVERAGE(Y16:Y19)</f>
        <v>2.367479090582528E-3</v>
      </c>
      <c r="Y16" s="15">
        <f>EXP(Z16)</f>
        <v>3.3939758573988663E-3</v>
      </c>
      <c r="Z16" s="15">
        <f>((1930+55)/AA16)-13.1+0.2</f>
        <v>-5.6857532255133556</v>
      </c>
      <c r="AA16">
        <f>AB16+273.15</f>
        <v>275.14999999999998</v>
      </c>
      <c r="AB16" s="8">
        <v>2</v>
      </c>
      <c r="AE16" s="9"/>
      <c r="AF16" s="2">
        <f>Y16*$AE$15</f>
        <v>17.416020222484935</v>
      </c>
      <c r="AG16" s="2">
        <f>AF16/AI$16</f>
        <v>45.831632164434041</v>
      </c>
      <c r="AH16" s="12">
        <f>AVERAGE(AF16:AF19)</f>
        <v>12.148602538821738</v>
      </c>
      <c r="AI16" s="58">
        <f>K6</f>
        <v>0.38</v>
      </c>
      <c r="AJ16" s="57">
        <f>$AH16/AI16</f>
        <v>31.970006681109837</v>
      </c>
      <c r="AL16" s="65">
        <f>AI16/$AE15</f>
        <v>7.4053130929791264E-5</v>
      </c>
      <c r="AN16" s="58">
        <f>I6</f>
        <v>0.1</v>
      </c>
      <c r="AO16" s="57">
        <f>$AH16/AN16</f>
        <v>121.48602538821737</v>
      </c>
      <c r="AP16" s="13"/>
      <c r="AQ16" s="65">
        <f>AN16/$AE15</f>
        <v>1.9487666034155597E-5</v>
      </c>
      <c r="AS16" s="58">
        <f>J6</f>
        <v>0.86</v>
      </c>
      <c r="AT16" s="57">
        <f>$AH16/AS16</f>
        <v>14.126282021885741</v>
      </c>
      <c r="AU16" s="13"/>
      <c r="AV16" s="65">
        <f>AS16/$AE15</f>
        <v>1.6759392789373812E-4</v>
      </c>
      <c r="BG16" s="92">
        <v>1.6999999999999999E-3</v>
      </c>
      <c r="BH16" s="86" t="s">
        <v>111</v>
      </c>
      <c r="BI16" s="79" t="s">
        <v>117</v>
      </c>
      <c r="BJ16" s="85"/>
      <c r="BK16" s="85"/>
      <c r="BL16" s="85"/>
      <c r="BM16" s="85"/>
      <c r="BN16" s="83"/>
      <c r="CB16" s="2"/>
      <c r="CC16" s="14"/>
      <c r="DA16">
        <v>6.9409999999999998</v>
      </c>
      <c r="DB16" s="4" t="s">
        <v>56</v>
      </c>
      <c r="DC16" s="5">
        <v>2.5219084712755597</v>
      </c>
      <c r="DD16" s="4"/>
      <c r="DH16" s="133" t="s">
        <v>20</v>
      </c>
      <c r="DI16">
        <v>1.1399999999999999</v>
      </c>
      <c r="DJ16" s="11">
        <f t="shared" si="12"/>
        <v>1</v>
      </c>
      <c r="DK16" s="98">
        <v>1.18</v>
      </c>
      <c r="DL16">
        <f>DM16/DN16</f>
        <v>923.22405583697957</v>
      </c>
      <c r="DM16">
        <v>380000</v>
      </c>
      <c r="DN16" s="142">
        <f>CW4</f>
        <v>411.60106000000002</v>
      </c>
      <c r="DQ16">
        <v>380000</v>
      </c>
      <c r="DR16" s="142">
        <f>CW4</f>
        <v>411.60106000000002</v>
      </c>
      <c r="DS16">
        <f t="shared" si="20"/>
        <v>923.22405583697957</v>
      </c>
      <c r="DT16">
        <f t="shared" si="21"/>
        <v>2.9653071120823959</v>
      </c>
      <c r="DU16" s="142">
        <v>411.60106000000002</v>
      </c>
      <c r="EC16">
        <v>40.078000000000003</v>
      </c>
      <c r="ED16" s="133" t="s">
        <v>20</v>
      </c>
      <c r="EE16" s="52"/>
      <c r="EF16">
        <f>DF43</f>
        <v>371680</v>
      </c>
      <c r="EG16">
        <f>DH43</f>
        <v>202</v>
      </c>
      <c r="EH16">
        <f t="shared" si="26"/>
        <v>1840</v>
      </c>
      <c r="EI16" s="44">
        <f>CA129</f>
        <v>1845.7711442786069</v>
      </c>
      <c r="EJ16" s="106" t="s">
        <v>285</v>
      </c>
      <c r="EK16">
        <f>EH16</f>
        <v>1840</v>
      </c>
      <c r="EL16" s="106" t="s">
        <v>284</v>
      </c>
      <c r="EM16" s="44">
        <f>EI16</f>
        <v>1845.7711442786069</v>
      </c>
      <c r="EN16" s="106" t="s">
        <v>285</v>
      </c>
      <c r="EO16">
        <f>LOG(EM16,10)</f>
        <v>3.2661778521945566</v>
      </c>
    </row>
    <row r="17" spans="1:145" x14ac:dyDescent="0.35">
      <c r="A17" s="1" t="s">
        <v>344</v>
      </c>
      <c r="B17" s="1">
        <v>2.4</v>
      </c>
      <c r="C17" s="1" t="s">
        <v>81</v>
      </c>
      <c r="D17" s="6">
        <v>63.545999999999999</v>
      </c>
      <c r="F17" s="3">
        <f t="shared" ref="F17:F18" si="28">B17/$B$3</f>
        <v>0.23369036027263876</v>
      </c>
      <c r="G17" s="1" t="s">
        <v>24</v>
      </c>
      <c r="H17" s="142">
        <f>(B17/1000000000)*D17*1000</f>
        <v>1.5251039999999999E-4</v>
      </c>
      <c r="X17" s="23"/>
      <c r="Y17" s="15">
        <f>EXP(Z17)</f>
        <v>2.2755462110251724E-3</v>
      </c>
      <c r="Z17" s="15">
        <f>((1930-55)/AA17)-13.1+0.2</f>
        <v>-6.0855351626385596</v>
      </c>
      <c r="AA17">
        <f>AB17+273.15</f>
        <v>275.14999999999998</v>
      </c>
      <c r="AB17" s="9">
        <f>AB16</f>
        <v>2</v>
      </c>
      <c r="AE17" s="9"/>
      <c r="AF17" s="2">
        <f>Y17*$AE$15</f>
        <v>11.676853487928588</v>
      </c>
      <c r="AG17" s="2">
        <f>AF17/AI$16</f>
        <v>30.728561810338388</v>
      </c>
      <c r="AH17" s="12"/>
      <c r="AI17" s="5"/>
      <c r="AJ17" s="57"/>
      <c r="AL17" s="64"/>
      <c r="AN17" s="5"/>
      <c r="AO17" s="57"/>
      <c r="AP17" s="13"/>
      <c r="AQ17" s="64"/>
      <c r="AS17" s="5"/>
      <c r="AT17" s="57"/>
      <c r="AU17" s="13"/>
      <c r="AV17" s="64"/>
      <c r="BG17" s="92">
        <v>1.33E-3</v>
      </c>
      <c r="BH17" s="86" t="s">
        <v>111</v>
      </c>
      <c r="BI17" s="79" t="s">
        <v>118</v>
      </c>
      <c r="BJ17" s="85"/>
      <c r="BK17" s="85"/>
      <c r="BL17" s="85"/>
      <c r="BM17" s="85"/>
      <c r="BN17" s="83"/>
      <c r="CJ17" s="79" t="s">
        <v>212</v>
      </c>
      <c r="CK17" s="85" t="s">
        <v>196</v>
      </c>
      <c r="CL17" s="2" t="s">
        <v>197</v>
      </c>
      <c r="DA17">
        <v>238.02891</v>
      </c>
      <c r="DB17" s="4" t="s">
        <v>58</v>
      </c>
      <c r="DC17" s="135">
        <f>F15/1000</f>
        <v>1.3047711781888998E-3</v>
      </c>
      <c r="DD17" s="4"/>
      <c r="DH17" s="67" t="s">
        <v>55</v>
      </c>
      <c r="DI17">
        <v>0.9</v>
      </c>
      <c r="DJ17" s="11">
        <v>0.76</v>
      </c>
      <c r="DK17" s="98">
        <f>DJ17</f>
        <v>0.76</v>
      </c>
      <c r="EC17" s="6">
        <v>6.9409999999999998</v>
      </c>
      <c r="ED17" s="67" t="s">
        <v>55</v>
      </c>
      <c r="EH17">
        <f>CU107</f>
        <v>0.30762687158392304</v>
      </c>
      <c r="EI17">
        <f>EH17</f>
        <v>0.30762687158392304</v>
      </c>
      <c r="EK17">
        <f>EI17</f>
        <v>0.30762687158392304</v>
      </c>
      <c r="EL17" s="106" t="s">
        <v>290</v>
      </c>
      <c r="EM17">
        <f>EK17</f>
        <v>0.30762687158392304</v>
      </c>
      <c r="EN17" s="106" t="s">
        <v>298</v>
      </c>
      <c r="EO17">
        <f>LOG(EM17,10)</f>
        <v>-0.51197573105883587</v>
      </c>
    </row>
    <row r="18" spans="1:145" x14ac:dyDescent="0.35">
      <c r="A18" s="13" t="s">
        <v>345</v>
      </c>
      <c r="B18" s="13">
        <v>540</v>
      </c>
      <c r="C18" s="13" t="s">
        <v>79</v>
      </c>
      <c r="D18" s="6">
        <v>55.847000000000001</v>
      </c>
      <c r="F18" s="14">
        <f t="shared" si="28"/>
        <v>52.58033106134372</v>
      </c>
      <c r="G18" s="13" t="s">
        <v>80</v>
      </c>
      <c r="H18" s="142">
        <f>(B18/1000000000000)*D18*1000</f>
        <v>3.0157379999999999E-5</v>
      </c>
      <c r="X18" s="23"/>
      <c r="Y18" s="15">
        <f>EXP(Z18)</f>
        <v>1.5253442409306176E-3</v>
      </c>
      <c r="Z18" s="15">
        <f>((1930-55)/AA18)-13.1-0.2</f>
        <v>-6.48553516263856</v>
      </c>
      <c r="AA18">
        <f>AB18+273.15</f>
        <v>275.14999999999998</v>
      </c>
      <c r="AB18" s="9">
        <f>AB17</f>
        <v>2</v>
      </c>
      <c r="AE18" s="9"/>
      <c r="AF18" s="2">
        <f>Y18*$AE$15</f>
        <v>7.8272289675797033</v>
      </c>
      <c r="AG18" s="2">
        <f>AF18/AI$16</f>
        <v>20.597970967315007</v>
      </c>
      <c r="AH18" s="12"/>
      <c r="AI18" s="5"/>
      <c r="AJ18" s="57"/>
      <c r="AL18" s="64"/>
      <c r="AN18" s="5"/>
      <c r="AO18" s="57"/>
      <c r="AP18" s="13"/>
      <c r="AQ18" s="64"/>
      <c r="AS18" s="5"/>
      <c r="AT18" s="57"/>
      <c r="AU18" s="13"/>
      <c r="AV18" s="64"/>
      <c r="BE18" s="79" t="s">
        <v>3</v>
      </c>
      <c r="BF18" s="79" t="s">
        <v>104</v>
      </c>
      <c r="BG18" s="85"/>
      <c r="BH18" s="85"/>
      <c r="BI18" s="85"/>
      <c r="BJ18" s="85">
        <v>0.01</v>
      </c>
      <c r="BK18" s="91">
        <v>2.0000000000000001E-4</v>
      </c>
      <c r="BL18" s="85">
        <v>0.2</v>
      </c>
      <c r="BM18" s="85"/>
      <c r="BN18" s="79" t="s">
        <v>23</v>
      </c>
      <c r="BO18" s="85">
        <v>92.522522522522507</v>
      </c>
      <c r="BP18" s="85">
        <v>1.8504504504504504</v>
      </c>
      <c r="BQ18" s="85">
        <v>1850.4504504504505</v>
      </c>
      <c r="BR18" s="91"/>
      <c r="CJ18">
        <v>3</v>
      </c>
      <c r="CK18">
        <f>LOG(CJ18)</f>
        <v>0.47712125471966244</v>
      </c>
      <c r="CL18">
        <f>LN(CJ18)</f>
        <v>1.0986122886681098</v>
      </c>
      <c r="DB18" s="4" t="s">
        <v>127</v>
      </c>
      <c r="DC18" s="4">
        <v>40</v>
      </c>
      <c r="DD18" s="5">
        <f>K4</f>
        <v>0.1</v>
      </c>
      <c r="DE18">
        <f t="shared" ref="DE18" si="29">DD18/DC18</f>
        <v>2.5000000000000001E-3</v>
      </c>
      <c r="DJ18" s="11"/>
    </row>
    <row r="19" spans="1:145" x14ac:dyDescent="0.35">
      <c r="B19" s="2"/>
      <c r="C19" s="2"/>
      <c r="G19" s="46"/>
      <c r="X19" s="23"/>
      <c r="Y19" s="15">
        <f>EXP(Z19)</f>
        <v>2.2750500529754554E-3</v>
      </c>
      <c r="Z19" s="15">
        <f>((1930+55)/AA19)-13.1-0.2</f>
        <v>-6.085753225513356</v>
      </c>
      <c r="AA19">
        <f>AB19+273.15</f>
        <v>275.14999999999998</v>
      </c>
      <c r="AB19" s="9">
        <f>AB18</f>
        <v>2</v>
      </c>
      <c r="AE19" s="9"/>
      <c r="AF19" s="2">
        <f>Y19*$AE$15</f>
        <v>11.67430747729372</v>
      </c>
      <c r="AG19" s="2">
        <f>AF19/AI$16</f>
        <v>30.721861782351894</v>
      </c>
      <c r="AH19" s="12"/>
      <c r="AI19" s="5"/>
      <c r="AJ19" s="57"/>
      <c r="AL19" s="64"/>
      <c r="AN19" s="5"/>
      <c r="AO19" s="57"/>
      <c r="AP19" s="13"/>
      <c r="AQ19" s="64"/>
      <c r="AS19" s="5"/>
      <c r="AT19" s="57"/>
      <c r="AU19" s="13"/>
      <c r="AV19" s="64"/>
      <c r="BE19" s="79" t="s">
        <v>4</v>
      </c>
      <c r="BF19" s="79" t="s">
        <v>105</v>
      </c>
      <c r="BG19" s="92">
        <v>5.0000000000000002E-5</v>
      </c>
      <c r="BH19" s="84" t="s">
        <v>129</v>
      </c>
      <c r="BI19" s="85" t="s">
        <v>112</v>
      </c>
      <c r="BJ19" s="85">
        <v>7.0000000000000007E-2</v>
      </c>
      <c r="BK19" s="85">
        <v>0.03</v>
      </c>
      <c r="BL19" s="85">
        <v>0.28000000000000003</v>
      </c>
      <c r="BM19" s="85"/>
      <c r="BN19" s="79" t="s">
        <v>23</v>
      </c>
      <c r="BO19" s="92">
        <v>7.0480392156862745E-5</v>
      </c>
      <c r="BP19" s="92">
        <v>3.0205882352941176E-5</v>
      </c>
      <c r="BQ19" s="92">
        <v>2.8192156862745098E-4</v>
      </c>
      <c r="BR19" s="93"/>
      <c r="CK19">
        <f>10^CK18</f>
        <v>3.0000000000000004</v>
      </c>
      <c r="CL19">
        <f>EXP(CL18)</f>
        <v>3.0000000000000004</v>
      </c>
    </row>
    <row r="20" spans="1:145" x14ac:dyDescent="0.35">
      <c r="B20" s="2"/>
      <c r="C20" s="2"/>
      <c r="G20" s="44"/>
      <c r="X20" s="24"/>
      <c r="Y20" s="15"/>
      <c r="AE20" s="9"/>
      <c r="AI20" s="4"/>
      <c r="AJ20" s="57"/>
      <c r="AL20" s="64"/>
      <c r="AN20" s="4"/>
      <c r="AO20" s="57"/>
      <c r="AP20" s="13"/>
      <c r="AQ20" s="64"/>
      <c r="AS20" s="4"/>
      <c r="AT20" s="57"/>
      <c r="AU20" s="13"/>
      <c r="AV20" s="64"/>
      <c r="BE20" s="79" t="s">
        <v>5</v>
      </c>
      <c r="BF20" s="79" t="s">
        <v>106</v>
      </c>
      <c r="BG20" s="85"/>
      <c r="BH20" s="85"/>
      <c r="BI20" s="85"/>
      <c r="BJ20" s="85">
        <v>3.33</v>
      </c>
      <c r="BK20" s="85">
        <v>0.37</v>
      </c>
      <c r="BL20" s="85">
        <v>16.86</v>
      </c>
      <c r="BM20" s="85"/>
      <c r="BN20" s="79" t="s">
        <v>24</v>
      </c>
      <c r="BO20" s="85">
        <v>94.997500000000016</v>
      </c>
      <c r="BP20" s="85">
        <v>10.555277777777778</v>
      </c>
      <c r="BQ20" s="85">
        <v>480.97833333333335</v>
      </c>
      <c r="BR20" s="91"/>
      <c r="CK20" t="s">
        <v>198</v>
      </c>
      <c r="CL20" t="s">
        <v>199</v>
      </c>
    </row>
    <row r="21" spans="1:145" x14ac:dyDescent="0.35">
      <c r="B21" s="7"/>
      <c r="C21" s="7"/>
      <c r="G21" s="45"/>
      <c r="X21" s="22">
        <f>AVERAGE(Y21:Y24)</f>
        <v>1.8935009055317238E-3</v>
      </c>
      <c r="Y21" s="15">
        <f>EXP(Z21)</f>
        <v>2.7006763553286974E-3</v>
      </c>
      <c r="Z21" s="15">
        <f>((1930+55)/AA21)-13.1+0.2</f>
        <v>-5.9142530353686427</v>
      </c>
      <c r="AA21">
        <f>AB21+273.15</f>
        <v>284.14999999999998</v>
      </c>
      <c r="AB21" s="8">
        <v>11</v>
      </c>
      <c r="AE21" s="9"/>
      <c r="AF21" s="2">
        <f>Y21*$AE$15</f>
        <v>13.858387918775303</v>
      </c>
      <c r="AG21" s="2">
        <f>AF21/AI$16</f>
        <v>36.469441891513959</v>
      </c>
      <c r="AH21" s="12">
        <f>AVERAGE(AF21:AF24)</f>
        <v>9.7164067888531509</v>
      </c>
      <c r="AI21" s="5">
        <f>AI16</f>
        <v>0.38</v>
      </c>
      <c r="AJ21" s="57">
        <f>$AH21/AI21</f>
        <v>25.569491549613556</v>
      </c>
      <c r="AL21" s="62"/>
      <c r="AN21" s="5">
        <f>AN16</f>
        <v>0.1</v>
      </c>
      <c r="AO21" s="57">
        <f>$AH21/AN21</f>
        <v>97.164067888531505</v>
      </c>
      <c r="AP21" s="13"/>
      <c r="AQ21" s="62"/>
      <c r="AS21" s="5">
        <f>AS16</f>
        <v>0.86</v>
      </c>
      <c r="AT21" s="57">
        <f>$AH21/AS21</f>
        <v>11.298147428899012</v>
      </c>
      <c r="AU21" s="13"/>
      <c r="AV21" s="62"/>
      <c r="BE21" s="79" t="s">
        <v>6</v>
      </c>
      <c r="BF21" s="79" t="s">
        <v>107</v>
      </c>
      <c r="BG21" s="85">
        <v>3.2</v>
      </c>
      <c r="BH21" s="84" t="s">
        <v>67</v>
      </c>
      <c r="BI21" s="85" t="s">
        <v>131</v>
      </c>
      <c r="BJ21" s="85">
        <v>1.91</v>
      </c>
      <c r="BK21" s="85">
        <v>0.67</v>
      </c>
      <c r="BL21" s="85">
        <v>22.03</v>
      </c>
      <c r="BM21" s="85"/>
      <c r="BN21" s="79" t="s">
        <v>24</v>
      </c>
      <c r="BO21" s="85">
        <v>3.6325370370370367</v>
      </c>
      <c r="BP21" s="85">
        <v>1.2742407407407408</v>
      </c>
      <c r="BQ21" s="85">
        <v>41.897796296296299</v>
      </c>
      <c r="BR21" s="85"/>
    </row>
    <row r="22" spans="1:145" x14ac:dyDescent="0.35">
      <c r="G22" s="46"/>
      <c r="X22" s="23"/>
      <c r="Y22" s="15">
        <f>EXP(Z22)</f>
        <v>1.8337861508856905E-3</v>
      </c>
      <c r="Z22" s="15">
        <f>((1930-55)/AA22)-13.1+0.2</f>
        <v>-6.301372514516979</v>
      </c>
      <c r="AA22">
        <f>AB22+273.15</f>
        <v>284.14999999999998</v>
      </c>
      <c r="AB22" s="9">
        <f>AB21</f>
        <v>11</v>
      </c>
      <c r="AE22" s="9"/>
      <c r="AF22" s="2">
        <f>Y22*$AE$15</f>
        <v>9.4099834617016445</v>
      </c>
      <c r="AG22" s="2">
        <f>AF22/AI$16</f>
        <v>24.763114372899064</v>
      </c>
      <c r="AH22" s="12"/>
      <c r="AI22" s="5"/>
      <c r="AJ22" s="57"/>
      <c r="AL22" s="64"/>
      <c r="AN22" s="5"/>
      <c r="AO22" s="57"/>
      <c r="AP22" s="13"/>
      <c r="AQ22" s="64"/>
      <c r="AS22" s="5"/>
      <c r="AT22" s="57"/>
      <c r="AU22" s="13"/>
      <c r="AV22" s="64"/>
      <c r="BE22" s="79" t="s">
        <v>7</v>
      </c>
      <c r="BF22" s="79" t="s">
        <v>108</v>
      </c>
      <c r="BG22" s="79">
        <f>(1.13+1.17)/2</f>
        <v>1.1499999999999999</v>
      </c>
      <c r="BH22" s="86" t="s">
        <v>63</v>
      </c>
      <c r="BI22" s="79" t="s">
        <v>155</v>
      </c>
      <c r="BJ22" s="85">
        <v>1.5</v>
      </c>
      <c r="BK22" s="85">
        <v>5.7773450178513466</v>
      </c>
      <c r="BL22" s="85">
        <v>2.92</v>
      </c>
      <c r="BM22" s="85"/>
      <c r="BN22" s="79" t="s">
        <v>23</v>
      </c>
      <c r="BO22" s="85">
        <v>0.17308988764044944</v>
      </c>
      <c r="BP22" s="85">
        <v>9.0006741573033719E-2</v>
      </c>
      <c r="BQ22" s="85">
        <v>0.33694831460674157</v>
      </c>
      <c r="BR22" s="85"/>
      <c r="CI22" s="4" t="s">
        <v>194</v>
      </c>
      <c r="CJ22" s="4" t="s">
        <v>193</v>
      </c>
      <c r="CK22" s="4" t="s">
        <v>192</v>
      </c>
      <c r="CL22" s="4" t="s">
        <v>195</v>
      </c>
      <c r="CN22" s="1" t="s">
        <v>261</v>
      </c>
    </row>
    <row r="23" spans="1:145" x14ac:dyDescent="0.35">
      <c r="G23" s="46"/>
      <c r="X23" s="23"/>
      <c r="Y23" s="15">
        <f>EXP(Z23)</f>
        <v>1.2292236170812134E-3</v>
      </c>
      <c r="Z23" s="15">
        <f>((1930-55)/AA23)-13.1-0.2</f>
        <v>-6.7013725145169794</v>
      </c>
      <c r="AA23">
        <f>AB23+273.15</f>
        <v>284.14999999999998</v>
      </c>
      <c r="AB23" s="9">
        <f>AB22</f>
        <v>11</v>
      </c>
      <c r="AE23" s="9"/>
      <c r="AF23" s="2">
        <f>Y23*$AE$15</f>
        <v>6.3077005472424492</v>
      </c>
      <c r="AG23" s="2">
        <f>AF23/AI$16</f>
        <v>16.599211966427497</v>
      </c>
      <c r="AH23" s="12"/>
      <c r="AI23" s="5"/>
      <c r="AJ23" s="57"/>
      <c r="AL23" s="64"/>
      <c r="AN23" s="5"/>
      <c r="AO23" s="57"/>
      <c r="AP23" s="13"/>
      <c r="AQ23" s="64"/>
      <c r="AS23" s="5"/>
      <c r="AT23" s="57"/>
      <c r="AU23" s="13"/>
      <c r="AV23" s="64"/>
      <c r="BG23" s="79">
        <v>1.17</v>
      </c>
      <c r="BH23" s="86" t="s">
        <v>156</v>
      </c>
      <c r="BI23" s="85" t="s">
        <v>169</v>
      </c>
      <c r="CI23" s="5">
        <v>87.62</v>
      </c>
      <c r="CJ23" s="4">
        <v>1500</v>
      </c>
      <c r="CK23" s="4">
        <v>400436</v>
      </c>
      <c r="CL23" s="5">
        <f>CJ23*40.078/$CI$23/CK23*1000</f>
        <v>1.7134085773008223</v>
      </c>
      <c r="CN23" s="1">
        <f>CL23/40.078*87.62*CK23/1000</f>
        <v>1500</v>
      </c>
    </row>
    <row r="24" spans="1:145" x14ac:dyDescent="0.35">
      <c r="X24" s="23"/>
      <c r="Y24" s="15">
        <f>EXP(Z24)</f>
        <v>1.8103174988312943E-3</v>
      </c>
      <c r="Z24" s="15">
        <f>((1930+55)/AA24)-13.1-0.2</f>
        <v>-6.314253035368643</v>
      </c>
      <c r="AA24">
        <f>AB24+273.15</f>
        <v>284.14999999999998</v>
      </c>
      <c r="AB24" s="9">
        <f>AB23</f>
        <v>11</v>
      </c>
      <c r="AE24" s="9"/>
      <c r="AF24" s="2">
        <f>Y24*$AE$15</f>
        <v>9.2895552276932047</v>
      </c>
      <c r="AG24" s="2">
        <f>AF24/AI$16</f>
        <v>24.446197967613696</v>
      </c>
      <c r="AH24" s="12"/>
      <c r="AI24" s="5"/>
      <c r="AJ24" s="57"/>
      <c r="AL24" s="64"/>
      <c r="AN24" s="5"/>
      <c r="AO24" s="57"/>
      <c r="AP24" s="13"/>
      <c r="AQ24" s="64"/>
      <c r="AS24" s="5"/>
      <c r="AT24" s="57"/>
      <c r="AU24" s="13"/>
      <c r="AV24" s="64"/>
      <c r="BG24" s="79">
        <v>1.27</v>
      </c>
      <c r="BH24" s="86" t="s">
        <v>121</v>
      </c>
      <c r="BI24" s="85" t="s">
        <v>157</v>
      </c>
      <c r="BW24" s="106" t="s">
        <v>256</v>
      </c>
    </row>
    <row r="25" spans="1:145" x14ac:dyDescent="0.35">
      <c r="AE25" s="9"/>
      <c r="AI25" s="4"/>
      <c r="AJ25" s="57"/>
      <c r="AL25" s="64"/>
      <c r="AN25" s="4"/>
      <c r="AO25" s="57"/>
      <c r="AP25" s="13"/>
      <c r="AQ25" s="64"/>
      <c r="AS25" s="4"/>
      <c r="AT25" s="57"/>
      <c r="AU25" s="13"/>
      <c r="AV25" s="64"/>
      <c r="BG25" s="85">
        <v>1.3972798154596744</v>
      </c>
      <c r="BH25" s="86" t="s">
        <v>111</v>
      </c>
      <c r="BI25" s="79" t="s">
        <v>151</v>
      </c>
      <c r="BJ25" s="85"/>
      <c r="BK25" s="85"/>
      <c r="BL25" s="85"/>
      <c r="BM25" s="85"/>
      <c r="BN25" s="83"/>
      <c r="BQ25" s="83"/>
      <c r="BR25" s="83"/>
      <c r="BW25" t="s">
        <v>258</v>
      </c>
      <c r="BX25" t="s">
        <v>258</v>
      </c>
      <c r="BY25" t="s">
        <v>258</v>
      </c>
      <c r="BZ25" t="s">
        <v>161</v>
      </c>
      <c r="CA25" t="s">
        <v>161</v>
      </c>
      <c r="CB25" t="s">
        <v>162</v>
      </c>
      <c r="CC25" t="s">
        <v>163</v>
      </c>
      <c r="CD25" t="s">
        <v>260</v>
      </c>
      <c r="CE25" t="s">
        <v>260</v>
      </c>
      <c r="CF25" t="s">
        <v>7</v>
      </c>
      <c r="CG25" t="s">
        <v>2</v>
      </c>
      <c r="CJ25" t="s">
        <v>259</v>
      </c>
      <c r="CK25" t="s">
        <v>259</v>
      </c>
      <c r="CL25" t="s">
        <v>259</v>
      </c>
      <c r="CM25" t="s">
        <v>254</v>
      </c>
      <c r="CN25" t="s">
        <v>254</v>
      </c>
      <c r="CO25" t="s">
        <v>254</v>
      </c>
    </row>
    <row r="26" spans="1:145" x14ac:dyDescent="0.35">
      <c r="AE26" s="9"/>
      <c r="AI26" s="4"/>
      <c r="AJ26" s="57"/>
      <c r="AL26" s="64"/>
      <c r="AN26" s="4"/>
      <c r="AO26" s="57"/>
      <c r="AP26" s="13"/>
      <c r="AQ26" s="64"/>
      <c r="AS26" s="4"/>
      <c r="AT26" s="57"/>
      <c r="AU26" s="13"/>
      <c r="AV26" s="64"/>
      <c r="BG26" s="85">
        <v>1.3021057735889856</v>
      </c>
      <c r="BH26" s="86" t="s">
        <v>111</v>
      </c>
      <c r="BI26" s="79" t="s">
        <v>152</v>
      </c>
      <c r="BJ26" s="85"/>
      <c r="BK26" s="85"/>
      <c r="BL26" s="85"/>
      <c r="BM26" s="85"/>
      <c r="BN26" s="83"/>
      <c r="BQ26" s="83"/>
      <c r="BR26" s="83"/>
      <c r="BW26" t="s">
        <v>257</v>
      </c>
      <c r="BX26" t="s">
        <v>257</v>
      </c>
      <c r="BY26" t="s">
        <v>257</v>
      </c>
      <c r="BZ26" t="s">
        <v>160</v>
      </c>
      <c r="CA26" t="s">
        <v>168</v>
      </c>
      <c r="CB26" t="s">
        <v>160</v>
      </c>
      <c r="CC26" t="s">
        <v>160</v>
      </c>
      <c r="CD26" t="s">
        <v>7</v>
      </c>
      <c r="CE26" t="s">
        <v>2</v>
      </c>
      <c r="CF26" t="s">
        <v>166</v>
      </c>
      <c r="CG26" t="s">
        <v>166</v>
      </c>
      <c r="CJ26" t="s">
        <v>175</v>
      </c>
      <c r="CK26" t="s">
        <v>175</v>
      </c>
      <c r="CL26" t="s">
        <v>175</v>
      </c>
      <c r="CM26" t="s">
        <v>175</v>
      </c>
      <c r="CN26" t="s">
        <v>175</v>
      </c>
      <c r="CO26" t="s">
        <v>175</v>
      </c>
    </row>
    <row r="27" spans="1:145" x14ac:dyDescent="0.35">
      <c r="Y27" t="s">
        <v>43</v>
      </c>
      <c r="Z27" s="15" t="s">
        <v>31</v>
      </c>
      <c r="AA27" t="s">
        <v>32</v>
      </c>
      <c r="AB27" t="s">
        <v>33</v>
      </c>
      <c r="AE27" s="80">
        <f>F12</f>
        <v>10.613437195715678</v>
      </c>
      <c r="AF27" t="s">
        <v>24</v>
      </c>
      <c r="AG27" s="1"/>
      <c r="AI27" s="4"/>
      <c r="AJ27" s="57"/>
      <c r="AL27" s="64"/>
      <c r="AN27" s="4"/>
      <c r="AO27" s="57"/>
      <c r="AP27" s="13"/>
      <c r="AQ27" s="64"/>
      <c r="AS27" s="4"/>
      <c r="AT27" s="57"/>
      <c r="AU27" s="13"/>
      <c r="AV27" s="64"/>
      <c r="BG27" s="85">
        <v>1.176756442957642</v>
      </c>
      <c r="BH27" s="86" t="s">
        <v>111</v>
      </c>
      <c r="BI27" s="79" t="s">
        <v>153</v>
      </c>
      <c r="BJ27" s="85"/>
      <c r="BK27" s="85"/>
      <c r="BL27" s="85"/>
      <c r="BM27" s="85"/>
      <c r="BN27" s="83"/>
      <c r="BQ27" s="83"/>
      <c r="BR27" s="83"/>
      <c r="BW27" t="s">
        <v>167</v>
      </c>
      <c r="BX27" t="s">
        <v>164</v>
      </c>
      <c r="BY27" t="s">
        <v>165</v>
      </c>
      <c r="BZ27" t="s">
        <v>158</v>
      </c>
      <c r="CA27" t="s">
        <v>158</v>
      </c>
      <c r="CB27" t="s">
        <v>159</v>
      </c>
      <c r="CC27" t="s">
        <v>158</v>
      </c>
      <c r="CD27" t="s">
        <v>158</v>
      </c>
      <c r="CE27" t="s">
        <v>158</v>
      </c>
      <c r="CF27" t="s">
        <v>70</v>
      </c>
      <c r="CG27" t="s">
        <v>70</v>
      </c>
      <c r="CH27" t="s">
        <v>60</v>
      </c>
      <c r="CI27" t="s">
        <v>65</v>
      </c>
      <c r="CJ27" t="s">
        <v>12</v>
      </c>
      <c r="CK27" t="s">
        <v>17</v>
      </c>
      <c r="CL27" t="s">
        <v>20</v>
      </c>
      <c r="CM27" t="s">
        <v>12</v>
      </c>
      <c r="CN27" t="s">
        <v>17</v>
      </c>
      <c r="CO27" t="s">
        <v>20</v>
      </c>
      <c r="CP27" t="s">
        <v>262</v>
      </c>
      <c r="CQ27" t="s">
        <v>263</v>
      </c>
      <c r="CR27" t="s">
        <v>274</v>
      </c>
    </row>
    <row r="28" spans="1:145" x14ac:dyDescent="0.35">
      <c r="X28" s="19">
        <f>AVERAGE(Y28:Y31)</f>
        <v>6.3990064036474639</v>
      </c>
      <c r="Y28" s="2">
        <f>EXP(Z28)</f>
        <v>14.106663625524785</v>
      </c>
      <c r="Z28" s="15">
        <f>((2913+154)/AA28)-9+0.5</f>
        <v>2.6466472833000196</v>
      </c>
      <c r="AA28">
        <f>AB28+273.15</f>
        <v>275.14999999999998</v>
      </c>
      <c r="AB28" s="8">
        <v>2</v>
      </c>
      <c r="AE28" s="9"/>
      <c r="AF28" s="2">
        <f>Y28*$AE$27</f>
        <v>149.72018843059413</v>
      </c>
      <c r="AG28" s="2">
        <f>AF28/AX$28</f>
        <v>74.860094215297067</v>
      </c>
      <c r="AH28" s="12">
        <f>AVERAGE(AF28:AF31)</f>
        <v>67.915452580094808</v>
      </c>
      <c r="AI28" s="58">
        <f>K12</f>
        <v>5.7</v>
      </c>
      <c r="AJ28" s="57">
        <f>$AH28/AI28</f>
        <v>11.914991680718387</v>
      </c>
      <c r="AL28" s="61">
        <f>AI28/$AE27</f>
        <v>0.53705504587155961</v>
      </c>
      <c r="AN28" s="58">
        <f>I12</f>
        <v>0.76</v>
      </c>
      <c r="AO28" s="57">
        <f>$AH28/AN28</f>
        <v>89.36243760538791</v>
      </c>
      <c r="AP28" s="13"/>
      <c r="AQ28" s="61">
        <f>AN28/$AE27</f>
        <v>7.1607339449541285E-2</v>
      </c>
      <c r="AS28" s="58">
        <f>J12</f>
        <v>29.24</v>
      </c>
      <c r="AT28" s="57">
        <f>$AH28/AS28</f>
        <v>2.3226898967200689</v>
      </c>
      <c r="AU28" s="13"/>
      <c r="AV28" s="61">
        <f>AS28/$AE27</f>
        <v>2.7549981651376143</v>
      </c>
      <c r="AX28" s="82">
        <v>2</v>
      </c>
      <c r="AY28" s="83">
        <f>AH28/AX28</f>
        <v>33.957726290047404</v>
      </c>
      <c r="AZ28" s="79"/>
      <c r="BA28" s="84">
        <f>AX28/AE27</f>
        <v>0.18844036697247704</v>
      </c>
      <c r="BG28" s="85">
        <v>0.41699999999999998</v>
      </c>
      <c r="BH28" s="86" t="s">
        <v>111</v>
      </c>
      <c r="BI28" s="79" t="s">
        <v>115</v>
      </c>
      <c r="BJ28" s="85"/>
      <c r="BK28" s="85"/>
      <c r="BL28" s="85"/>
      <c r="BM28" s="85"/>
      <c r="BN28" s="83"/>
      <c r="BW28">
        <v>30.47</v>
      </c>
      <c r="BX28">
        <v>0.104</v>
      </c>
      <c r="BY28">
        <v>10.49</v>
      </c>
      <c r="BZ28" s="2">
        <f>BX28/(BY28/1000)</f>
        <v>9.914204003813154</v>
      </c>
      <c r="CA28">
        <f>BW28/(BY28/1000)</f>
        <v>2904.67111534795</v>
      </c>
      <c r="CB28">
        <v>0.01</v>
      </c>
      <c r="CC28">
        <f>CB28*1000</f>
        <v>10</v>
      </c>
      <c r="CD28">
        <v>12.22</v>
      </c>
      <c r="CE28">
        <v>1.44</v>
      </c>
      <c r="CF28" s="2">
        <f>CD28/BZ28</f>
        <v>1.2325750000000002</v>
      </c>
      <c r="CG28">
        <f>CE28/CA28</f>
        <v>4.9575319986872339E-4</v>
      </c>
      <c r="CH28">
        <v>7.7910000000000004</v>
      </c>
      <c r="CI28">
        <v>36.200000000000003</v>
      </c>
      <c r="CJ28">
        <f>BW28/1000*24.305*1000</f>
        <v>740.57335</v>
      </c>
      <c r="CK28">
        <f>BX28/1000*87.62*1000</f>
        <v>9.1124799999999997</v>
      </c>
      <c r="CL28">
        <f>BY28/1000*40.078*1000</f>
        <v>420.41822000000008</v>
      </c>
      <c r="CM28">
        <f>CE28/40.078*24.305*$CO$28/1000</f>
        <v>349.69159267428512</v>
      </c>
      <c r="CN28">
        <f>CD28/40.078*87.62*$CO$28/1000</f>
        <v>10697.973759928142</v>
      </c>
      <c r="CO28">
        <v>400436</v>
      </c>
      <c r="CP28">
        <f>CN28/CK28</f>
        <v>1173.9914666400521</v>
      </c>
      <c r="CQ28">
        <f>CM28/CJ28</f>
        <v>0.47219035450612029</v>
      </c>
      <c r="CR28">
        <f>CN28*40.078/87.62/CO28*1000</f>
        <v>12.220000000000002</v>
      </c>
    </row>
    <row r="29" spans="1:145" x14ac:dyDescent="0.35">
      <c r="X29" s="20"/>
      <c r="Y29" s="2">
        <f>EXP(Z29)</f>
        <v>4.6055304788544733</v>
      </c>
      <c r="Z29" s="15">
        <f>((2913-154)/AA29)-9+0.5</f>
        <v>1.5272578593494472</v>
      </c>
      <c r="AA29">
        <f>AB29+273.15</f>
        <v>275.14999999999998</v>
      </c>
      <c r="AB29" s="9">
        <f>AB28</f>
        <v>2</v>
      </c>
      <c r="AF29" s="2">
        <f>Y29*$AE$27</f>
        <v>48.880508490276306</v>
      </c>
      <c r="AG29" s="2">
        <f>AF29/AX$28</f>
        <v>24.440254245138153</v>
      </c>
      <c r="AH29" s="12"/>
      <c r="AI29" s="5"/>
      <c r="AJ29" s="57"/>
      <c r="AL29" s="64"/>
      <c r="AN29" s="5"/>
      <c r="AO29" s="57"/>
      <c r="AP29" s="13"/>
      <c r="AQ29" s="64"/>
      <c r="AS29" s="5"/>
      <c r="AT29" s="57"/>
      <c r="AU29" s="13"/>
      <c r="AV29" s="64"/>
      <c r="AX29" s="85"/>
      <c r="AY29" s="83"/>
      <c r="AZ29" s="79"/>
      <c r="BA29" s="86"/>
      <c r="BG29" s="85">
        <v>1.24</v>
      </c>
      <c r="BH29" s="86" t="s">
        <v>111</v>
      </c>
      <c r="BI29" s="79" t="s">
        <v>117</v>
      </c>
      <c r="BJ29" s="85"/>
      <c r="BK29" s="85"/>
      <c r="BL29" s="85"/>
      <c r="BM29" s="85"/>
      <c r="BN29" s="83"/>
      <c r="BW29" s="85">
        <v>30.12</v>
      </c>
      <c r="BX29">
        <v>5.1999999999999998E-2</v>
      </c>
      <c r="BY29">
        <v>10.4</v>
      </c>
      <c r="BZ29" s="2">
        <f t="shared" ref="BZ29:BZ37" si="30">BX29/(BY29/1000)</f>
        <v>5</v>
      </c>
      <c r="CA29">
        <f t="shared" ref="CA29:CA37" si="31">BW29/(BY29/1000)</f>
        <v>2896.1538461538462</v>
      </c>
      <c r="CB29">
        <v>5.0000000000000001E-3</v>
      </c>
      <c r="CC29">
        <f t="shared" ref="CC29:CC37" si="32">CB29*1000</f>
        <v>5</v>
      </c>
      <c r="CD29">
        <v>6.11</v>
      </c>
      <c r="CE29">
        <v>2.2799999999999998</v>
      </c>
      <c r="CF29" s="2">
        <f t="shared" ref="CF29:CF37" si="33">CD29/BZ29</f>
        <v>1.222</v>
      </c>
      <c r="CG29">
        <f t="shared" ref="CG29:CG37" si="34">CE29/CA29</f>
        <v>7.8725099601593615E-4</v>
      </c>
      <c r="CH29">
        <v>7.85</v>
      </c>
      <c r="CI29">
        <v>36.4</v>
      </c>
      <c r="CJ29">
        <f t="shared" ref="CJ29:CJ37" si="35">BW29/1000*24.305*1000</f>
        <v>732.06659999999999</v>
      </c>
      <c r="CK29">
        <f t="shared" ref="CK29:CK37" si="36">BX29/1000*87.62*1000</f>
        <v>4.5562399999999998</v>
      </c>
      <c r="CL29">
        <f t="shared" ref="CL29:CL37" si="37">BY29/1000*40.078*1000</f>
        <v>416.81119999999999</v>
      </c>
      <c r="CM29">
        <f t="shared" ref="CM29:CM36" si="38">CE29/40.078*24.305*$CO$28/1000</f>
        <v>553.6783550676181</v>
      </c>
      <c r="CN29">
        <f t="shared" ref="CN29:CN37" si="39">CD29/40.078*87.62*$CO$28/1000</f>
        <v>5348.9868799640708</v>
      </c>
      <c r="CP29">
        <f t="shared" ref="CP29:CP37" si="40">CN29/CK29</f>
        <v>1173.9914666400521</v>
      </c>
      <c r="CQ29">
        <f t="shared" ref="CQ29:CQ37" si="41">CM29/CJ29</f>
        <v>0.75632238250948491</v>
      </c>
    </row>
    <row r="30" spans="1:145" x14ac:dyDescent="0.35">
      <c r="X30" s="20"/>
      <c r="Y30" s="2">
        <f>EXP(Z30)</f>
        <v>1.6942799788590288</v>
      </c>
      <c r="Z30" s="15">
        <f>((2913-154)/AA30)-9-0.5</f>
        <v>0.52725785934944724</v>
      </c>
      <c r="AA30">
        <f>AB30+273.15</f>
        <v>275.14999999999998</v>
      </c>
      <c r="AB30" s="9">
        <f>AB29</f>
        <v>2</v>
      </c>
      <c r="AF30" s="2">
        <f>Y30*$AE$27</f>
        <v>17.982134147578787</v>
      </c>
      <c r="AG30" s="2">
        <f>AF30/AX$28</f>
        <v>8.9910670737893934</v>
      </c>
      <c r="AH30" s="12"/>
      <c r="AI30" s="5"/>
      <c r="AJ30" s="57"/>
      <c r="AL30" s="64"/>
      <c r="AN30" s="5"/>
      <c r="AO30" s="57"/>
      <c r="AP30" s="13"/>
      <c r="AQ30" s="64"/>
      <c r="AS30" s="5"/>
      <c r="AT30" s="57"/>
      <c r="AU30" s="13"/>
      <c r="AV30" s="64"/>
      <c r="AX30" s="85"/>
      <c r="AY30" s="83"/>
      <c r="AZ30" s="79"/>
      <c r="BA30" s="86"/>
      <c r="BG30" s="85">
        <v>1.133</v>
      </c>
      <c r="BH30" s="86" t="s">
        <v>111</v>
      </c>
      <c r="BI30" s="79" t="s">
        <v>118</v>
      </c>
      <c r="BJ30" s="85"/>
      <c r="BK30" s="85"/>
      <c r="BL30" s="85"/>
      <c r="BM30" s="85"/>
      <c r="BN30" s="83"/>
      <c r="BW30">
        <v>30.17</v>
      </c>
      <c r="BX30">
        <v>0.104</v>
      </c>
      <c r="BY30">
        <v>10.39</v>
      </c>
      <c r="BZ30" s="2">
        <f t="shared" si="30"/>
        <v>10.009624639076034</v>
      </c>
      <c r="CA30">
        <f t="shared" si="31"/>
        <v>2903.7536092396535</v>
      </c>
      <c r="CB30">
        <v>0.01</v>
      </c>
      <c r="CC30">
        <f t="shared" si="32"/>
        <v>10</v>
      </c>
      <c r="CD30">
        <v>12.14</v>
      </c>
      <c r="CE30">
        <v>2.23</v>
      </c>
      <c r="CF30" s="2">
        <f t="shared" si="33"/>
        <v>1.2128326923076924</v>
      </c>
      <c r="CG30">
        <f t="shared" si="34"/>
        <v>7.6797149486244616E-4</v>
      </c>
      <c r="CH30">
        <v>8.0280000000000005</v>
      </c>
      <c r="CI30">
        <v>35.1</v>
      </c>
      <c r="CJ30">
        <f t="shared" si="35"/>
        <v>733.28184999999996</v>
      </c>
      <c r="CK30">
        <f t="shared" si="36"/>
        <v>9.1124799999999997</v>
      </c>
      <c r="CL30">
        <f t="shared" si="37"/>
        <v>416.41041999999999</v>
      </c>
      <c r="CM30">
        <f t="shared" si="38"/>
        <v>541.53628587753872</v>
      </c>
      <c r="CN30">
        <f t="shared" si="39"/>
        <v>10627.937925165927</v>
      </c>
      <c r="CP30">
        <f t="shared" si="40"/>
        <v>1166.3057614574657</v>
      </c>
      <c r="CQ30">
        <f t="shared" si="41"/>
        <v>0.73851041843942922</v>
      </c>
    </row>
    <row r="31" spans="1:145" x14ac:dyDescent="0.35">
      <c r="X31" s="20"/>
      <c r="Y31" s="2">
        <f>EXP(Z31)</f>
        <v>5.1895515313515705</v>
      </c>
      <c r="Z31" s="15">
        <f>((2913+154)/AA31)-9-0.5</f>
        <v>1.6466472833000196</v>
      </c>
      <c r="AA31">
        <f>AB31+273.15</f>
        <v>275.14999999999998</v>
      </c>
      <c r="AB31" s="9">
        <f>AB30</f>
        <v>2</v>
      </c>
      <c r="AF31" s="2">
        <f>Y31*$AE$27</f>
        <v>55.078979251930015</v>
      </c>
      <c r="AG31" s="2">
        <f>AF31/AX$28</f>
        <v>27.539489625965007</v>
      </c>
      <c r="AH31" s="12"/>
      <c r="AI31" s="5"/>
      <c r="AJ31" s="57"/>
      <c r="AL31" s="64"/>
      <c r="AN31" s="5"/>
      <c r="AO31" s="57"/>
      <c r="AP31" s="13"/>
      <c r="AQ31" s="64"/>
      <c r="AS31" s="5"/>
      <c r="AT31" s="57"/>
      <c r="AU31" s="13"/>
      <c r="AV31" s="64"/>
      <c r="AX31" s="85"/>
      <c r="AY31" s="83"/>
      <c r="AZ31" s="79"/>
      <c r="BA31" s="86"/>
      <c r="BE31" s="79" t="s">
        <v>8</v>
      </c>
      <c r="BF31" s="79" t="s">
        <v>109</v>
      </c>
      <c r="BG31" s="79">
        <v>0.44</v>
      </c>
      <c r="BH31" s="86" t="s">
        <v>114</v>
      </c>
      <c r="BI31" s="79" t="s">
        <v>203</v>
      </c>
      <c r="BJ31" s="85">
        <v>5.7</v>
      </c>
      <c r="BK31" s="85">
        <v>0.76</v>
      </c>
      <c r="BL31" s="85">
        <v>29.24</v>
      </c>
      <c r="BM31" s="85">
        <v>2</v>
      </c>
      <c r="BN31" s="79" t="s">
        <v>24</v>
      </c>
      <c r="BO31" s="85">
        <v>0.53705504587155961</v>
      </c>
      <c r="BP31" s="85">
        <v>7.1607339449541285E-2</v>
      </c>
      <c r="BQ31" s="85">
        <v>2.7549981651376143</v>
      </c>
      <c r="BR31" s="79">
        <v>0.19</v>
      </c>
      <c r="BW31">
        <v>30.54</v>
      </c>
      <c r="BX31">
        <v>5.0999999999999997E-2</v>
      </c>
      <c r="BY31">
        <v>10.18</v>
      </c>
      <c r="BZ31" s="2">
        <f t="shared" si="30"/>
        <v>5.0098231827111981</v>
      </c>
      <c r="CA31">
        <f t="shared" si="31"/>
        <v>3000</v>
      </c>
      <c r="CB31">
        <v>5.0000000000000001E-3</v>
      </c>
      <c r="CC31">
        <f t="shared" si="32"/>
        <v>5</v>
      </c>
      <c r="CD31">
        <v>6.11</v>
      </c>
      <c r="CE31">
        <v>2.36</v>
      </c>
      <c r="CF31" s="2">
        <f t="shared" si="33"/>
        <v>1.2196039215686276</v>
      </c>
      <c r="CG31">
        <f t="shared" si="34"/>
        <v>7.8666666666666663E-4</v>
      </c>
      <c r="CH31">
        <v>8.0039999999999996</v>
      </c>
      <c r="CI31">
        <v>35</v>
      </c>
      <c r="CJ31">
        <f t="shared" si="35"/>
        <v>742.27469999999994</v>
      </c>
      <c r="CK31">
        <f t="shared" si="36"/>
        <v>4.4686200000000005</v>
      </c>
      <c r="CL31">
        <f t="shared" si="37"/>
        <v>407.99403999999998</v>
      </c>
      <c r="CM31">
        <f t="shared" si="38"/>
        <v>573.10566577174507</v>
      </c>
      <c r="CN31">
        <f t="shared" si="39"/>
        <v>5348.9868799640708</v>
      </c>
      <c r="CP31">
        <f t="shared" si="40"/>
        <v>1197.0109071624058</v>
      </c>
      <c r="CQ31">
        <f t="shared" si="41"/>
        <v>0.77209376228469739</v>
      </c>
      <c r="DE31" t="s">
        <v>238</v>
      </c>
      <c r="DF31" t="s">
        <v>30</v>
      </c>
      <c r="DG31" t="s">
        <v>30</v>
      </c>
      <c r="DH31" t="s">
        <v>243</v>
      </c>
    </row>
    <row r="32" spans="1:145" x14ac:dyDescent="0.35">
      <c r="AI32" s="4"/>
      <c r="AJ32" s="57"/>
      <c r="AL32" s="64"/>
      <c r="AN32" s="4"/>
      <c r="AO32" s="57"/>
      <c r="AP32" s="13"/>
      <c r="AQ32" s="64"/>
      <c r="AS32" s="4"/>
      <c r="AT32" s="57"/>
      <c r="AU32" s="13"/>
      <c r="AV32" s="64"/>
      <c r="AX32" s="79"/>
      <c r="AY32" s="83"/>
      <c r="AZ32" s="79"/>
      <c r="BA32" s="86"/>
      <c r="BG32" s="79">
        <v>2.0699999999999998</v>
      </c>
      <c r="BH32" s="86" t="s">
        <v>121</v>
      </c>
      <c r="BI32" s="85" t="s">
        <v>157</v>
      </c>
      <c r="BW32">
        <v>30.53</v>
      </c>
      <c r="BX32">
        <v>0.105</v>
      </c>
      <c r="BY32">
        <v>10.31</v>
      </c>
      <c r="BZ32" s="2">
        <f t="shared" si="30"/>
        <v>10.184287099903006</v>
      </c>
      <c r="CA32">
        <f t="shared" si="31"/>
        <v>2961.2027158098936</v>
      </c>
      <c r="CB32">
        <v>0.01</v>
      </c>
      <c r="CC32">
        <f t="shared" si="32"/>
        <v>10</v>
      </c>
      <c r="CD32">
        <v>11.42</v>
      </c>
      <c r="CE32">
        <v>3.83</v>
      </c>
      <c r="CF32" s="2">
        <f t="shared" si="33"/>
        <v>1.1213352380952382</v>
      </c>
      <c r="CG32">
        <f t="shared" si="34"/>
        <v>1.2933933835571568E-3</v>
      </c>
      <c r="CH32">
        <v>8.0289999999999999</v>
      </c>
      <c r="CI32">
        <v>35</v>
      </c>
      <c r="CJ32">
        <f t="shared" si="35"/>
        <v>742.03165000000001</v>
      </c>
      <c r="CK32">
        <f t="shared" si="36"/>
        <v>9.2000999999999991</v>
      </c>
      <c r="CL32">
        <f t="shared" si="37"/>
        <v>413.20418000000001</v>
      </c>
      <c r="CM32">
        <f t="shared" si="38"/>
        <v>930.08249996007783</v>
      </c>
      <c r="CN32">
        <f t="shared" si="39"/>
        <v>9997.6154123060041</v>
      </c>
      <c r="CP32">
        <f t="shared" si="40"/>
        <v>1086.6855156254828</v>
      </c>
      <c r="CQ32">
        <f t="shared" si="41"/>
        <v>1.253426993255716</v>
      </c>
      <c r="DB32" t="s">
        <v>95</v>
      </c>
      <c r="DC32" t="s">
        <v>21</v>
      </c>
      <c r="DE32" t="s">
        <v>175</v>
      </c>
      <c r="DF32" t="s">
        <v>175</v>
      </c>
      <c r="DG32" t="s">
        <v>241</v>
      </c>
      <c r="DH32" t="s">
        <v>175</v>
      </c>
    </row>
    <row r="33" spans="14:113" x14ac:dyDescent="0.35">
      <c r="X33" s="19">
        <f>AVERAGE(Y33:Y36)</f>
        <v>4.5354940281377933</v>
      </c>
      <c r="Y33" s="2">
        <f>EXP(Z33)</f>
        <v>9.9105012992485815</v>
      </c>
      <c r="Z33" s="15">
        <f>((2913+154)/AA33)-9+0.5</f>
        <v>2.2935949322540914</v>
      </c>
      <c r="AA33">
        <f>AB33+273.15</f>
        <v>284.14999999999998</v>
      </c>
      <c r="AB33" s="8">
        <v>11</v>
      </c>
      <c r="AF33" s="2">
        <f>Y33*$AE$27</f>
        <v>105.18448311763345</v>
      </c>
      <c r="AG33" s="2">
        <f>AF33/AX$28</f>
        <v>52.592241558816724</v>
      </c>
      <c r="AH33" s="12">
        <f>AVERAGE(AF33:AF36)</f>
        <v>48.137181019183984</v>
      </c>
      <c r="AI33" s="5">
        <f>AI28</f>
        <v>5.7</v>
      </c>
      <c r="AJ33" s="57">
        <f>$AH33/AI33</f>
        <v>8.4451194770498219</v>
      </c>
      <c r="AL33" s="62"/>
      <c r="AN33" s="5">
        <f>AN28</f>
        <v>0.76</v>
      </c>
      <c r="AO33" s="57">
        <f>$AH33/AN33</f>
        <v>63.338396077873661</v>
      </c>
      <c r="AP33" s="13"/>
      <c r="AQ33" s="62"/>
      <c r="AS33" s="5">
        <f>AS28</f>
        <v>29.24</v>
      </c>
      <c r="AT33" s="57">
        <f>$AH33/AS33</f>
        <v>1.6462784206287273</v>
      </c>
      <c r="AU33" s="13"/>
      <c r="AV33" s="62"/>
      <c r="AX33" s="85">
        <f>AX28</f>
        <v>2</v>
      </c>
      <c r="AY33" s="83">
        <f>AH33/AX33</f>
        <v>24.068590509591992</v>
      </c>
      <c r="AZ33" s="79"/>
      <c r="BA33" s="84"/>
      <c r="BG33" s="85">
        <v>6.3990064036474639</v>
      </c>
      <c r="BH33" s="86" t="s">
        <v>111</v>
      </c>
      <c r="BI33" s="79" t="s">
        <v>151</v>
      </c>
      <c r="BJ33" s="85"/>
      <c r="BK33" s="85"/>
      <c r="BL33" s="85"/>
      <c r="BM33" s="85"/>
      <c r="BN33" s="83"/>
      <c r="BQ33" s="83"/>
      <c r="BR33" s="83"/>
      <c r="BW33">
        <v>30.78</v>
      </c>
      <c r="BX33">
        <v>0.05</v>
      </c>
      <c r="BY33">
        <v>10.26</v>
      </c>
      <c r="BZ33" s="2">
        <f t="shared" si="30"/>
        <v>4.8732943469785575</v>
      </c>
      <c r="CA33">
        <f t="shared" si="31"/>
        <v>3000</v>
      </c>
      <c r="CB33">
        <v>5.0000000000000001E-3</v>
      </c>
      <c r="CC33">
        <f t="shared" si="32"/>
        <v>5</v>
      </c>
      <c r="CD33">
        <v>5.73</v>
      </c>
      <c r="CE33">
        <v>3.86</v>
      </c>
      <c r="CF33" s="2">
        <f t="shared" si="33"/>
        <v>1.1757960000000001</v>
      </c>
      <c r="CG33">
        <f t="shared" si="34"/>
        <v>1.2866666666666666E-3</v>
      </c>
      <c r="CH33">
        <v>8</v>
      </c>
      <c r="CI33">
        <v>35.299999999999997</v>
      </c>
      <c r="CJ33">
        <f t="shared" si="35"/>
        <v>748.10790000000009</v>
      </c>
      <c r="CK33">
        <f t="shared" si="36"/>
        <v>4.3810000000000002</v>
      </c>
      <c r="CL33">
        <f t="shared" si="37"/>
        <v>411.20028000000002</v>
      </c>
      <c r="CM33">
        <f t="shared" si="38"/>
        <v>937.36774147412541</v>
      </c>
      <c r="CN33">
        <f t="shared" si="39"/>
        <v>5016.3166648435545</v>
      </c>
      <c r="CP33">
        <f t="shared" si="40"/>
        <v>1145.0163581017014</v>
      </c>
      <c r="CQ33">
        <f t="shared" si="41"/>
        <v>1.252984685062309</v>
      </c>
      <c r="DC33">
        <v>10.811</v>
      </c>
      <c r="DD33" s="134" t="s">
        <v>10</v>
      </c>
      <c r="DE33" s="142">
        <f t="shared" ref="DE33:DE42" si="42">CW5</f>
        <v>4.497376</v>
      </c>
    </row>
    <row r="34" spans="14:113" x14ac:dyDescent="0.35">
      <c r="X34" s="20"/>
      <c r="Y34" s="36">
        <f>EXP(Z34)</f>
        <v>3.3523459711325798</v>
      </c>
      <c r="Z34" s="15">
        <f>((2913-154)/AA34)-9+0.5</f>
        <v>1.2096603906387475</v>
      </c>
      <c r="AA34">
        <f>AB34+273.15</f>
        <v>284.14999999999998</v>
      </c>
      <c r="AB34" s="9">
        <f>AB33</f>
        <v>11</v>
      </c>
      <c r="AF34" s="2">
        <f>Y34*$AE$27</f>
        <v>35.579913422926118</v>
      </c>
      <c r="AG34" s="2">
        <f>AF34/AX$28</f>
        <v>17.789956711463059</v>
      </c>
      <c r="AH34" s="12"/>
      <c r="AI34" s="4"/>
      <c r="AJ34" s="57"/>
      <c r="AL34" s="64"/>
      <c r="AN34" s="4"/>
      <c r="AO34" s="57"/>
      <c r="AP34" s="13"/>
      <c r="AQ34" s="64"/>
      <c r="AS34" s="4"/>
      <c r="AT34" s="57"/>
      <c r="AU34" s="13"/>
      <c r="AV34" s="64"/>
      <c r="AX34" s="85"/>
      <c r="AY34" s="83"/>
      <c r="AZ34" s="79"/>
      <c r="BA34" s="86"/>
      <c r="BG34" s="85">
        <v>4.5354940281377933</v>
      </c>
      <c r="BH34" s="86" t="s">
        <v>111</v>
      </c>
      <c r="BI34" s="79" t="s">
        <v>152</v>
      </c>
      <c r="BJ34" s="85"/>
      <c r="BK34" s="85"/>
      <c r="BL34" s="85"/>
      <c r="BM34" s="85"/>
      <c r="BN34" s="83"/>
      <c r="BQ34" s="83"/>
      <c r="BR34" s="83"/>
      <c r="BW34">
        <v>29.77</v>
      </c>
      <c r="BX34">
        <v>0.10100000000000001</v>
      </c>
      <c r="BY34">
        <v>9.89</v>
      </c>
      <c r="BZ34" s="2">
        <f t="shared" si="30"/>
        <v>10.212335692618806</v>
      </c>
      <c r="CA34">
        <f t="shared" si="31"/>
        <v>3010.1112234580378</v>
      </c>
      <c r="CB34">
        <v>0.01</v>
      </c>
      <c r="CC34">
        <f t="shared" si="32"/>
        <v>10</v>
      </c>
      <c r="CD34">
        <v>11.61</v>
      </c>
      <c r="CE34">
        <v>4.3099999999999996</v>
      </c>
      <c r="CF34" s="2">
        <f t="shared" si="33"/>
        <v>1.136860396039604</v>
      </c>
      <c r="CG34">
        <f t="shared" si="34"/>
        <v>1.4318407793080285E-3</v>
      </c>
      <c r="CH34">
        <v>7.9619999999999997</v>
      </c>
      <c r="CI34">
        <v>35</v>
      </c>
      <c r="CJ34">
        <f t="shared" si="35"/>
        <v>723.55984999999987</v>
      </c>
      <c r="CK34">
        <f t="shared" si="36"/>
        <v>8.8496200000000016</v>
      </c>
      <c r="CL34">
        <f t="shared" si="37"/>
        <v>396.37142000000006</v>
      </c>
      <c r="CM34">
        <f t="shared" si="38"/>
        <v>1046.6463641848395</v>
      </c>
      <c r="CN34">
        <f t="shared" si="39"/>
        <v>10163.950519866259</v>
      </c>
      <c r="CP34">
        <f t="shared" si="40"/>
        <v>1148.5183002056876</v>
      </c>
      <c r="CQ34">
        <f t="shared" si="41"/>
        <v>1.4465235518317381</v>
      </c>
      <c r="DC34">
        <v>22.989768999999999</v>
      </c>
      <c r="DD34" s="67" t="s">
        <v>11</v>
      </c>
      <c r="DE34" s="142">
        <f t="shared" si="42"/>
        <v>10782.201660999999</v>
      </c>
    </row>
    <row r="35" spans="14:113" x14ac:dyDescent="0.35">
      <c r="R35" s="1"/>
      <c r="S35" s="1"/>
      <c r="T35" s="1"/>
      <c r="U35" s="1"/>
      <c r="V35" s="1"/>
      <c r="W35" s="1"/>
      <c r="X35" s="20"/>
      <c r="Y35" s="2">
        <f>EXP(Z35)</f>
        <v>1.2332591624735896</v>
      </c>
      <c r="Z35" s="15">
        <f>((2913-154)/AA35)-9-0.5</f>
        <v>0.20966039063874753</v>
      </c>
      <c r="AA35">
        <f>AB35+273.15</f>
        <v>284.14999999999998</v>
      </c>
      <c r="AB35" s="9">
        <f>AB34</f>
        <v>11</v>
      </c>
      <c r="AF35" s="2">
        <f>Y35*$AE$27</f>
        <v>13.089118666954359</v>
      </c>
      <c r="AG35" s="2">
        <f>AF35/AX$28</f>
        <v>6.5445593334771797</v>
      </c>
      <c r="AH35" s="12"/>
      <c r="AJ35" s="153" t="s">
        <v>363</v>
      </c>
      <c r="AK35" s="154"/>
      <c r="AL35" s="155"/>
      <c r="AM35" s="8"/>
      <c r="AN35" s="154"/>
      <c r="AO35" s="153"/>
      <c r="AP35" s="154"/>
      <c r="AQ35" s="155"/>
      <c r="AR35" s="8"/>
      <c r="AS35" s="154"/>
      <c r="AT35" s="156"/>
      <c r="AU35" s="157"/>
      <c r="AV35" s="158"/>
      <c r="AW35" s="159"/>
      <c r="AX35" s="85"/>
      <c r="AY35" s="83"/>
      <c r="AZ35" s="79"/>
      <c r="BA35" s="86"/>
      <c r="BG35" s="85">
        <v>2.7682604672204389</v>
      </c>
      <c r="BH35" s="86" t="s">
        <v>111</v>
      </c>
      <c r="BI35" s="79" t="s">
        <v>153</v>
      </c>
      <c r="BJ35" s="85"/>
      <c r="BK35" s="85"/>
      <c r="BL35" s="85"/>
      <c r="BM35" s="85"/>
      <c r="BN35" s="83"/>
      <c r="BQ35" s="83"/>
      <c r="BR35" s="83"/>
      <c r="BW35">
        <v>29.89</v>
      </c>
      <c r="BX35">
        <v>0.05</v>
      </c>
      <c r="BY35">
        <v>9.75</v>
      </c>
      <c r="BZ35" s="2">
        <f t="shared" si="30"/>
        <v>5.1282051282051286</v>
      </c>
      <c r="CA35">
        <f t="shared" si="31"/>
        <v>3065.6410256410259</v>
      </c>
      <c r="CB35">
        <v>5.0000000000000001E-3</v>
      </c>
      <c r="CC35">
        <f t="shared" si="32"/>
        <v>5</v>
      </c>
      <c r="CD35">
        <v>5.84</v>
      </c>
      <c r="CE35">
        <v>3.91</v>
      </c>
      <c r="CF35" s="2">
        <f t="shared" si="33"/>
        <v>1.1387999999999998</v>
      </c>
      <c r="CG35">
        <f t="shared" si="34"/>
        <v>1.2754265640682503E-3</v>
      </c>
      <c r="CH35">
        <v>8.0020000000000007</v>
      </c>
      <c r="CI35">
        <v>35.299999999999997</v>
      </c>
      <c r="CJ35">
        <f t="shared" si="35"/>
        <v>726.47644999999989</v>
      </c>
      <c r="CK35">
        <f t="shared" si="36"/>
        <v>4.3810000000000002</v>
      </c>
      <c r="CL35">
        <f t="shared" si="37"/>
        <v>390.76050000000004</v>
      </c>
      <c r="CM35">
        <f t="shared" si="38"/>
        <v>949.50981066420479</v>
      </c>
      <c r="CN35">
        <f t="shared" si="39"/>
        <v>5112.6159376415981</v>
      </c>
      <c r="CP35">
        <f t="shared" si="40"/>
        <v>1166.9974749238982</v>
      </c>
      <c r="CQ35">
        <f t="shared" si="41"/>
        <v>1.3070070071290059</v>
      </c>
      <c r="DA35" t="s">
        <v>158</v>
      </c>
      <c r="DB35">
        <f>DF35*$DC$43/DC35/$DF$43*1000</f>
        <v>84.238186744311491</v>
      </c>
      <c r="DC35">
        <v>24.305</v>
      </c>
      <c r="DD35" s="133" t="s">
        <v>12</v>
      </c>
      <c r="DE35" s="142">
        <f t="shared" si="42"/>
        <v>1280.8734999999999</v>
      </c>
      <c r="DF35">
        <f>DG35*DH35</f>
        <v>18987.5</v>
      </c>
      <c r="DG35">
        <v>21.7</v>
      </c>
      <c r="DH35">
        <v>875</v>
      </c>
      <c r="DI35" s="106" t="s">
        <v>244</v>
      </c>
    </row>
    <row r="36" spans="14:113" x14ac:dyDescent="0.35">
      <c r="R36" s="1"/>
      <c r="S36" s="1"/>
      <c r="T36" s="1"/>
      <c r="U36" s="1"/>
      <c r="V36" s="1"/>
      <c r="W36" s="1"/>
      <c r="X36" s="20"/>
      <c r="Y36" s="36">
        <f>EXP(Z36)</f>
        <v>3.6458696796964212</v>
      </c>
      <c r="Z36" s="15">
        <f>((2913+154)/AA36)-9-0.5</f>
        <v>1.2935949322540914</v>
      </c>
      <c r="AA36">
        <f>AB36+273.15</f>
        <v>284.14999999999998</v>
      </c>
      <c r="AB36" s="9">
        <f>AB35</f>
        <v>11</v>
      </c>
      <c r="AF36" s="2">
        <f>Y36*$AE$27</f>
        <v>38.695208869222</v>
      </c>
      <c r="AG36" s="2">
        <f>AF36/AX$28</f>
        <v>19.347604434611</v>
      </c>
      <c r="AH36" s="12"/>
      <c r="AJ36" s="57"/>
      <c r="AL36" s="64"/>
      <c r="AX36" s="85"/>
      <c r="AY36" s="83"/>
      <c r="AZ36" s="79"/>
      <c r="BA36" s="86"/>
      <c r="BG36" s="85">
        <v>1.81</v>
      </c>
      <c r="BH36" s="86" t="s">
        <v>111</v>
      </c>
      <c r="BI36" s="79" t="s">
        <v>115</v>
      </c>
      <c r="BJ36" s="85"/>
      <c r="BK36" s="85"/>
      <c r="BL36" s="85"/>
      <c r="BM36" s="85"/>
      <c r="BN36" s="83"/>
      <c r="BW36">
        <v>30.22</v>
      </c>
      <c r="BX36">
        <v>0.1</v>
      </c>
      <c r="BY36">
        <v>9.76</v>
      </c>
      <c r="BZ36" s="2">
        <f t="shared" si="30"/>
        <v>10.245901639344263</v>
      </c>
      <c r="CA36">
        <f t="shared" si="31"/>
        <v>3096.311475409836</v>
      </c>
      <c r="CB36">
        <v>0.01</v>
      </c>
      <c r="CC36">
        <f t="shared" si="32"/>
        <v>10</v>
      </c>
      <c r="CD36">
        <v>11.41</v>
      </c>
      <c r="CE36">
        <v>5.96</v>
      </c>
      <c r="CF36" s="2">
        <f t="shared" si="33"/>
        <v>1.1136159999999999</v>
      </c>
      <c r="CG36">
        <f t="shared" si="34"/>
        <v>1.9248709463931171E-3</v>
      </c>
      <c r="CH36">
        <v>8.0709999999999997</v>
      </c>
      <c r="CI36">
        <v>35.200000000000003</v>
      </c>
      <c r="CJ36">
        <f t="shared" si="35"/>
        <v>734.49710000000005</v>
      </c>
      <c r="CK36">
        <f t="shared" si="36"/>
        <v>8.7620000000000005</v>
      </c>
      <c r="CL36">
        <f t="shared" si="37"/>
        <v>391.16127999999998</v>
      </c>
      <c r="CM36">
        <f t="shared" si="38"/>
        <v>1447.3346474574578</v>
      </c>
      <c r="CN36">
        <f t="shared" si="39"/>
        <v>9988.860932960728</v>
      </c>
      <c r="CP36">
        <f t="shared" si="40"/>
        <v>1140.0206497330207</v>
      </c>
      <c r="CQ36">
        <f t="shared" si="41"/>
        <v>1.9705110441653992</v>
      </c>
      <c r="DC36">
        <v>26.981539000000001</v>
      </c>
      <c r="DD36" s="134" t="s">
        <v>13</v>
      </c>
      <c r="DE36" s="142">
        <f t="shared" si="42"/>
        <v>2.9949508290000002E-5</v>
      </c>
    </row>
    <row r="37" spans="14:113" x14ac:dyDescent="0.35">
      <c r="AJ37" s="57" t="s">
        <v>89</v>
      </c>
      <c r="AK37" s="4" t="s">
        <v>90</v>
      </c>
      <c r="AO37" s="73" t="s">
        <v>89</v>
      </c>
      <c r="AP37" s="6" t="s">
        <v>90</v>
      </c>
      <c r="AT37" s="70" t="s">
        <v>89</v>
      </c>
      <c r="AU37" s="13" t="s">
        <v>90</v>
      </c>
      <c r="BG37" s="85">
        <v>2.99</v>
      </c>
      <c r="BH37" s="86" t="s">
        <v>111</v>
      </c>
      <c r="BI37" s="79" t="s">
        <v>117</v>
      </c>
      <c r="BJ37" s="85"/>
      <c r="BK37" s="85"/>
      <c r="BL37" s="85"/>
      <c r="BM37" s="85"/>
      <c r="BN37" s="83"/>
      <c r="BW37">
        <v>30.31</v>
      </c>
      <c r="BX37">
        <v>0.05</v>
      </c>
      <c r="BY37">
        <v>9.77</v>
      </c>
      <c r="BZ37" s="2">
        <f t="shared" si="30"/>
        <v>5.1177072671443202</v>
      </c>
      <c r="CA37">
        <f t="shared" si="31"/>
        <v>3102.3541453428866</v>
      </c>
      <c r="CB37">
        <v>5.0000000000000001E-3</v>
      </c>
      <c r="CC37">
        <f t="shared" si="32"/>
        <v>5</v>
      </c>
      <c r="CD37">
        <v>5.58</v>
      </c>
      <c r="CE37">
        <v>6.88</v>
      </c>
      <c r="CF37" s="2">
        <f t="shared" si="33"/>
        <v>1.0903319999999999</v>
      </c>
      <c r="CG37">
        <f t="shared" si="34"/>
        <v>2.2176707357307816E-3</v>
      </c>
      <c r="CH37">
        <v>8.1669999999999998</v>
      </c>
      <c r="CI37">
        <v>35.299999999999997</v>
      </c>
      <c r="CJ37">
        <f t="shared" si="35"/>
        <v>736.68454999999994</v>
      </c>
      <c r="CK37">
        <f t="shared" si="36"/>
        <v>4.3810000000000002</v>
      </c>
      <c r="CL37">
        <f t="shared" si="37"/>
        <v>391.56205999999997</v>
      </c>
      <c r="CM37">
        <f>CE37/40.078*24.305*$CO$28/1000</f>
        <v>1670.7487205549178</v>
      </c>
      <c r="CN37">
        <f t="shared" si="39"/>
        <v>4884.9994746644052</v>
      </c>
      <c r="CP37">
        <f t="shared" si="40"/>
        <v>1115.0421078896154</v>
      </c>
      <c r="CQ37">
        <f t="shared" si="41"/>
        <v>2.2679296322352869</v>
      </c>
      <c r="DC37">
        <v>39.098300000000002</v>
      </c>
      <c r="DD37" s="67" t="s">
        <v>14</v>
      </c>
      <c r="DE37" s="142">
        <f t="shared" si="42"/>
        <v>398.80266</v>
      </c>
    </row>
    <row r="38" spans="14:113" x14ac:dyDescent="0.35">
      <c r="N38" s="14"/>
      <c r="R38" s="1"/>
      <c r="S38" s="1"/>
      <c r="T38" s="1"/>
      <c r="U38" s="1"/>
      <c r="V38" s="1"/>
      <c r="W38" s="1"/>
      <c r="AI38" s="4" t="s">
        <v>88</v>
      </c>
      <c r="AJ38" s="4"/>
      <c r="AK38" s="4"/>
      <c r="AL38" s="57"/>
      <c r="AN38" s="6" t="s">
        <v>25</v>
      </c>
      <c r="AO38" s="6"/>
      <c r="AP38" s="6"/>
      <c r="AQ38" s="6"/>
      <c r="AS38" s="13" t="s">
        <v>26</v>
      </c>
      <c r="AT38" s="13"/>
      <c r="AU38" s="13"/>
      <c r="AV38" s="13"/>
      <c r="BG38" s="85">
        <v>2.11</v>
      </c>
      <c r="BH38" s="86" t="s">
        <v>111</v>
      </c>
      <c r="BI38" s="79" t="s">
        <v>118</v>
      </c>
      <c r="BJ38" s="85"/>
      <c r="BK38" s="85"/>
      <c r="BL38" s="85"/>
      <c r="BM38" s="85"/>
      <c r="BN38" s="83"/>
      <c r="CF38" s="2"/>
      <c r="DC38">
        <v>54.938043999999998</v>
      </c>
      <c r="DD38" s="133" t="s">
        <v>15</v>
      </c>
      <c r="DE38" s="142">
        <f t="shared" si="42"/>
        <v>1.9777695839999997E-5</v>
      </c>
    </row>
    <row r="39" spans="14:113" x14ac:dyDescent="0.35">
      <c r="N39" s="14"/>
      <c r="Y39" s="32"/>
      <c r="Z39" s="29"/>
      <c r="AA39" s="30"/>
      <c r="AB39" s="30"/>
      <c r="AC39" s="30"/>
      <c r="AD39" s="30"/>
      <c r="AE39" s="94" t="s">
        <v>120</v>
      </c>
      <c r="AF39" s="30" t="s">
        <v>30</v>
      </c>
      <c r="AI39" s="60" t="s">
        <v>86</v>
      </c>
      <c r="AJ39" s="60" t="s">
        <v>84</v>
      </c>
      <c r="AK39" s="60" t="s">
        <v>87</v>
      </c>
      <c r="AL39" s="64" t="s">
        <v>70</v>
      </c>
      <c r="AN39" s="67" t="s">
        <v>86</v>
      </c>
      <c r="AO39" s="67" t="s">
        <v>84</v>
      </c>
      <c r="AP39" s="67" t="s">
        <v>87</v>
      </c>
      <c r="AQ39" s="68" t="s">
        <v>70</v>
      </c>
      <c r="AS39" s="31" t="s">
        <v>86</v>
      </c>
      <c r="AT39" s="31" t="s">
        <v>84</v>
      </c>
      <c r="AU39" s="31" t="s">
        <v>87</v>
      </c>
      <c r="AV39" s="33" t="s">
        <v>70</v>
      </c>
      <c r="BE39" s="79" t="s">
        <v>9</v>
      </c>
      <c r="BF39" s="79" t="s">
        <v>110</v>
      </c>
      <c r="BJ39" s="85">
        <v>0.09</v>
      </c>
      <c r="BK39" s="85">
        <v>0.03</v>
      </c>
      <c r="BL39" s="85">
        <v>2.64</v>
      </c>
      <c r="BM39" s="85"/>
      <c r="BN39" s="79" t="s">
        <v>24</v>
      </c>
      <c r="BO39" s="85">
        <v>71.099999999999994</v>
      </c>
      <c r="BP39" s="85">
        <v>23.7</v>
      </c>
      <c r="BQ39" s="85">
        <v>2085.6</v>
      </c>
      <c r="BR39" s="85"/>
      <c r="CF39" s="2">
        <f t="shared" ref="CF39:CN39" si="43">AVERAGE(CF28:CF37)</f>
        <v>1.1663751248011163</v>
      </c>
      <c r="CG39" s="48">
        <f t="shared" si="43"/>
        <v>1.2267511433137774E-3</v>
      </c>
      <c r="CH39" s="2">
        <f t="shared" si="43"/>
        <v>7.9904000000000011</v>
      </c>
      <c r="CI39" s="2">
        <f t="shared" si="43"/>
        <v>35.380000000000003</v>
      </c>
      <c r="CJ39" s="2">
        <f t="shared" si="43"/>
        <v>735.95540000000005</v>
      </c>
      <c r="CK39" s="2">
        <f t="shared" si="43"/>
        <v>6.720454000000001</v>
      </c>
      <c r="CL39" s="2">
        <f t="shared" si="43"/>
        <v>405.58935999999994</v>
      </c>
      <c r="CM39" s="2">
        <f t="shared" si="43"/>
        <v>899.97016836868102</v>
      </c>
      <c r="CN39" s="2">
        <f t="shared" si="43"/>
        <v>7718.8244387304758</v>
      </c>
      <c r="CP39" s="140">
        <f>AVERAGE(CP28:CP37)</f>
        <v>1151.3580008379381</v>
      </c>
      <c r="CQ39" s="140">
        <f>AVERAGE(CQ28:CQ37)</f>
        <v>1.2237499831419185</v>
      </c>
      <c r="DC39">
        <v>65.38</v>
      </c>
      <c r="DD39" s="133" t="s">
        <v>16</v>
      </c>
      <c r="DE39" s="142">
        <f t="shared" si="42"/>
        <v>3.5305200000000002E-4</v>
      </c>
    </row>
    <row r="40" spans="14:113" x14ac:dyDescent="0.35">
      <c r="S40" s="27"/>
      <c r="T40" s="27"/>
      <c r="U40" s="27"/>
      <c r="V40" s="27"/>
      <c r="W40" s="27"/>
      <c r="Y40" t="s">
        <v>44</v>
      </c>
      <c r="Z40" s="15" t="s">
        <v>31</v>
      </c>
      <c r="AA40" t="s">
        <v>32</v>
      </c>
      <c r="AB40" t="s">
        <v>33</v>
      </c>
      <c r="AC40" t="s">
        <v>60</v>
      </c>
      <c r="AD40" t="s">
        <v>65</v>
      </c>
      <c r="AE40" s="80">
        <f>F11</f>
        <v>8.6660175267770203</v>
      </c>
      <c r="AF40" t="s">
        <v>23</v>
      </c>
      <c r="AI40" t="s">
        <v>23</v>
      </c>
      <c r="AJ40" s="4"/>
      <c r="AK40" s="4"/>
      <c r="AL40" s="64"/>
      <c r="AN40" t="s">
        <v>23</v>
      </c>
      <c r="AO40" s="6"/>
      <c r="AP40" s="6"/>
      <c r="AQ40" s="6"/>
      <c r="AS40" s="13" t="s">
        <v>23</v>
      </c>
      <c r="AT40" s="13"/>
      <c r="AU40" s="13"/>
      <c r="AV40" s="13"/>
      <c r="BN40" s="83"/>
      <c r="CF40" s="2">
        <f t="shared" ref="CF40:CN40" si="44">STDEV(CF28:CF37)</f>
        <v>5.2475490242944539E-2</v>
      </c>
      <c r="CG40" s="48">
        <f t="shared" si="44"/>
        <v>5.4297805325028412E-4</v>
      </c>
      <c r="CH40" s="2">
        <f t="shared" si="44"/>
        <v>0.10608089156655662</v>
      </c>
      <c r="CI40" s="2">
        <f t="shared" si="44"/>
        <v>0.50288059108389638</v>
      </c>
      <c r="CJ40" s="2">
        <f t="shared" si="44"/>
        <v>7.5593369165776769</v>
      </c>
      <c r="CK40" s="2">
        <f t="shared" si="44"/>
        <v>2.4144746987017927</v>
      </c>
      <c r="CL40" s="2">
        <f t="shared" si="44"/>
        <v>11.869525211461124</v>
      </c>
      <c r="CM40" s="2">
        <f t="shared" si="44"/>
        <v>418.73097237666457</v>
      </c>
      <c r="CN40" s="2">
        <f t="shared" si="44"/>
        <v>2728.8899360953201</v>
      </c>
      <c r="CP40" s="2">
        <f>STDEV(CP28:CP37)</f>
        <v>32.067557832498956</v>
      </c>
      <c r="CQ40" s="2">
        <f>STDEV(CQ28:CQ37)</f>
        <v>0.57048124165647118</v>
      </c>
      <c r="DA40" t="s">
        <v>158</v>
      </c>
      <c r="DB40">
        <f>DF40*$DC$43/DC40/$DF$43*1000</f>
        <v>3.1438238732284547</v>
      </c>
      <c r="DC40">
        <v>87.62</v>
      </c>
      <c r="DD40" s="133" t="s">
        <v>17</v>
      </c>
      <c r="DE40" s="142">
        <f t="shared" si="42"/>
        <v>7.7981800000000003</v>
      </c>
      <c r="DF40">
        <f>DG40*DH40</f>
        <v>2554.61</v>
      </c>
      <c r="DG40">
        <v>667</v>
      </c>
      <c r="DH40">
        <v>3.83</v>
      </c>
      <c r="DI40" s="106" t="s">
        <v>244</v>
      </c>
    </row>
    <row r="41" spans="14:113" x14ac:dyDescent="0.35">
      <c r="U41" s="27"/>
      <c r="W41" s="27" t="s">
        <v>63</v>
      </c>
      <c r="X41" s="19">
        <f>Y41</f>
        <v>1.1459999999999999</v>
      </c>
      <c r="Y41" s="25">
        <f>-0.0047*AB41+1.24</f>
        <v>1.1459999999999999</v>
      </c>
      <c r="AB41" s="8">
        <v>20</v>
      </c>
      <c r="AC41" t="s">
        <v>130</v>
      </c>
      <c r="AE41" s="80"/>
      <c r="AF41" s="2">
        <f>Y41*AE40</f>
        <v>9.9312560856864653</v>
      </c>
      <c r="AH41" s="11" t="s">
        <v>7</v>
      </c>
      <c r="AI41" s="5">
        <f>K11</f>
        <v>1.5</v>
      </c>
      <c r="AJ41" s="5">
        <f>$Y41/AL41</f>
        <v>6.620837390457643</v>
      </c>
      <c r="AK41" s="5"/>
      <c r="AL41" s="61">
        <f>AI41/$AE40</f>
        <v>0.17308988764044944</v>
      </c>
      <c r="AM41" s="2">
        <f>1/AL41</f>
        <v>5.7773450178513466</v>
      </c>
      <c r="AN41" s="7">
        <f>I11</f>
        <v>0.78</v>
      </c>
      <c r="AO41" s="7">
        <f>$Y41/AQ41</f>
        <v>12.732379597033928</v>
      </c>
      <c r="AP41" s="7"/>
      <c r="AQ41" s="71">
        <f>AN41/$AE40</f>
        <v>9.0006741573033719E-2</v>
      </c>
      <c r="AS41" s="14">
        <f>J11</f>
        <v>2.92</v>
      </c>
      <c r="AT41" s="14">
        <f>$Y41/AV41</f>
        <v>3.4011150978378302</v>
      </c>
      <c r="AU41" s="14"/>
      <c r="AV41" s="34">
        <f>AS41/$AE40</f>
        <v>0.33694831460674157</v>
      </c>
      <c r="BI41" s="79" t="s">
        <v>116</v>
      </c>
      <c r="BN41" s="83"/>
      <c r="DA41" t="s">
        <v>158</v>
      </c>
      <c r="DB41">
        <f>DF41*$DC$43/DC41/$DF$43*1000</f>
        <v>9.9510502171493535E-3</v>
      </c>
      <c r="DC41">
        <v>137.327</v>
      </c>
      <c r="DD41" s="133" t="s">
        <v>18</v>
      </c>
      <c r="DE41" s="142">
        <f t="shared" si="42"/>
        <v>1.4968642999999998E-2</v>
      </c>
      <c r="DF41">
        <f>DG41*DH41</f>
        <v>12.673249999999999</v>
      </c>
      <c r="DG41">
        <v>4075</v>
      </c>
      <c r="DH41">
        <f>3.11/1000</f>
        <v>3.1099999999999999E-3</v>
      </c>
      <c r="DI41" s="106" t="s">
        <v>244</v>
      </c>
    </row>
    <row r="42" spans="14:113" x14ac:dyDescent="0.35">
      <c r="U42" s="27"/>
      <c r="W42" s="27" t="s">
        <v>123</v>
      </c>
      <c r="X42" s="19">
        <f>Y42</f>
        <v>1.1299999999999999</v>
      </c>
      <c r="Y42" s="25">
        <v>1.1299999999999999</v>
      </c>
      <c r="AB42" s="8">
        <v>25</v>
      </c>
      <c r="AC42">
        <v>9.35</v>
      </c>
      <c r="AE42" s="80"/>
      <c r="AF42" s="2">
        <f>Y42*AE40</f>
        <v>9.7925998052580319</v>
      </c>
      <c r="AH42" s="11" t="s">
        <v>7</v>
      </c>
      <c r="AI42" s="5">
        <f>AI41</f>
        <v>1.5</v>
      </c>
      <c r="AJ42" s="5">
        <f>$Y42/AL41</f>
        <v>6.5283998701720209</v>
      </c>
      <c r="AK42" s="5"/>
      <c r="AL42" s="61"/>
      <c r="AM42" s="2"/>
      <c r="AN42" s="7">
        <f>AN41</f>
        <v>0.78</v>
      </c>
      <c r="AO42" s="7">
        <f>$Y42/AQ41</f>
        <v>12.554615134946193</v>
      </c>
      <c r="AP42" s="7"/>
      <c r="AQ42" s="71"/>
      <c r="AS42" s="14">
        <f>AS41</f>
        <v>2.92</v>
      </c>
      <c r="AT42" s="14">
        <f>$Y42/AV41</f>
        <v>3.3536300702938466</v>
      </c>
      <c r="AU42" s="14"/>
      <c r="AV42" s="34"/>
      <c r="DC42">
        <v>207.2</v>
      </c>
      <c r="DD42" s="133" t="s">
        <v>19</v>
      </c>
      <c r="DE42" s="142">
        <f t="shared" si="42"/>
        <v>2.6935999999999999E-6</v>
      </c>
    </row>
    <row r="43" spans="14:113" x14ac:dyDescent="0.35">
      <c r="U43" s="27"/>
      <c r="W43" s="27"/>
      <c r="AE43" s="80"/>
      <c r="AI43" s="4"/>
      <c r="AJ43" s="4"/>
      <c r="AK43" s="4"/>
      <c r="AL43" s="64"/>
      <c r="AM43" s="2"/>
      <c r="AN43" s="6"/>
      <c r="AO43" s="6"/>
      <c r="AP43" s="6"/>
      <c r="AQ43" s="68"/>
      <c r="AS43" s="13"/>
      <c r="AT43" s="13"/>
      <c r="AU43" s="13"/>
      <c r="AV43" s="33"/>
      <c r="DC43">
        <v>40.078000000000003</v>
      </c>
      <c r="DD43" s="133" t="s">
        <v>20</v>
      </c>
      <c r="DE43" s="142">
        <f>CW4</f>
        <v>411.60106000000002</v>
      </c>
      <c r="DF43">
        <f>DG43*DH43</f>
        <v>371680</v>
      </c>
      <c r="DG43">
        <v>1840</v>
      </c>
      <c r="DH43">
        <v>202</v>
      </c>
      <c r="DI43" s="106" t="s">
        <v>244</v>
      </c>
    </row>
    <row r="44" spans="14:113" x14ac:dyDescent="0.35">
      <c r="U44" s="27"/>
      <c r="W44" s="27"/>
      <c r="Y44" t="s">
        <v>45</v>
      </c>
      <c r="Z44" s="15" t="s">
        <v>31</v>
      </c>
      <c r="AA44" t="s">
        <v>32</v>
      </c>
      <c r="AB44" t="s">
        <v>33</v>
      </c>
      <c r="AE44" s="80">
        <f>F6*1000</f>
        <v>5131.4508276533597</v>
      </c>
      <c r="AF44" t="s">
        <v>23</v>
      </c>
      <c r="AI44" t="s">
        <v>23</v>
      </c>
      <c r="AJ44" s="4"/>
      <c r="AK44" s="4"/>
      <c r="AL44" s="64"/>
      <c r="AM44" s="2"/>
      <c r="AN44" s="6" t="s">
        <v>23</v>
      </c>
      <c r="AO44" s="6"/>
      <c r="AP44" s="6"/>
      <c r="AQ44" s="68"/>
      <c r="AS44" s="13" t="s">
        <v>23</v>
      </c>
      <c r="AT44" s="13"/>
      <c r="AU44" s="13"/>
      <c r="AV44" s="33"/>
    </row>
    <row r="45" spans="14:113" x14ac:dyDescent="0.35">
      <c r="U45" s="27"/>
      <c r="W45" s="27" t="s">
        <v>62</v>
      </c>
      <c r="X45" s="22">
        <f>Y45</f>
        <v>4.7199999999999998E-4</v>
      </c>
      <c r="Y45" s="26">
        <f>4.72*10^-4</f>
        <v>4.7199999999999998E-4</v>
      </c>
      <c r="AB45" s="8">
        <v>25.5</v>
      </c>
      <c r="AE45" s="80"/>
      <c r="AF45" s="2">
        <f>Y45*AE44</f>
        <v>2.4220447906523859</v>
      </c>
      <c r="AH45" s="11" t="s">
        <v>2</v>
      </c>
      <c r="AI45" s="5">
        <f>K6</f>
        <v>0.38</v>
      </c>
      <c r="AJ45" s="5">
        <f>$Y45/AL45</f>
        <v>6.3738020806641726</v>
      </c>
      <c r="AK45" s="5"/>
      <c r="AL45" s="65">
        <f>AI45/$AE44</f>
        <v>7.4053130929791264E-5</v>
      </c>
      <c r="AM45" s="2">
        <f>1/AL45</f>
        <v>13503.817967508841</v>
      </c>
      <c r="AN45" s="7">
        <f>I6</f>
        <v>0.1</v>
      </c>
      <c r="AO45" s="7">
        <f>$Y45/AQ45</f>
        <v>24.220447906523855</v>
      </c>
      <c r="AP45" s="7"/>
      <c r="AQ45" s="72">
        <f>AN45/$AE44</f>
        <v>1.9487666034155597E-5</v>
      </c>
      <c r="AS45" s="14">
        <f>J6</f>
        <v>0.86</v>
      </c>
      <c r="AT45" s="14">
        <f>$Y45/AV45</f>
        <v>2.816331151921379</v>
      </c>
      <c r="AU45" s="14"/>
      <c r="AV45" s="69">
        <f>AS45/$AE44</f>
        <v>1.6759392789373812E-4</v>
      </c>
      <c r="CH45" s="1" t="s">
        <v>187</v>
      </c>
    </row>
    <row r="46" spans="14:113" x14ac:dyDescent="0.35">
      <c r="U46" s="27"/>
      <c r="W46" s="27" t="s">
        <v>123</v>
      </c>
      <c r="X46" s="22">
        <f>Y46</f>
        <v>1.3699999999999999E-3</v>
      </c>
      <c r="Y46" s="26">
        <v>1.3699999999999999E-3</v>
      </c>
      <c r="AB46" s="8">
        <v>25</v>
      </c>
      <c r="AC46">
        <v>9.35</v>
      </c>
      <c r="AE46" s="80"/>
      <c r="AF46" s="2">
        <f>Y46*AE44</f>
        <v>7.0300876338851026</v>
      </c>
      <c r="AI46" s="5">
        <f>AI45</f>
        <v>0.38</v>
      </c>
      <c r="AJ46" s="5">
        <f>$Y46/AL45</f>
        <v>18.500230615487112</v>
      </c>
      <c r="AK46" s="5"/>
      <c r="AM46" s="2"/>
      <c r="AN46" s="7">
        <f>AN45</f>
        <v>0.1</v>
      </c>
      <c r="AO46" s="7">
        <f>$Y46/AQ45</f>
        <v>70.300876338851012</v>
      </c>
      <c r="AP46" s="7"/>
      <c r="AQ46" s="6"/>
      <c r="AS46" s="14">
        <f>AS45</f>
        <v>0.86</v>
      </c>
      <c r="AT46" s="14">
        <f>$Y46/AV45</f>
        <v>8.1745205045175613</v>
      </c>
      <c r="AU46" s="14"/>
      <c r="AV46" s="33"/>
      <c r="CH46" s="1" t="s">
        <v>186</v>
      </c>
    </row>
    <row r="47" spans="14:113" x14ac:dyDescent="0.35">
      <c r="U47" s="27"/>
      <c r="W47" s="27" t="s">
        <v>156</v>
      </c>
      <c r="X47" s="22">
        <f>Y47</f>
        <v>8.9000000000000006E-4</v>
      </c>
      <c r="Y47" s="26">
        <f>0.89*0.001</f>
        <v>8.9000000000000006E-4</v>
      </c>
      <c r="AB47" s="8">
        <v>25</v>
      </c>
      <c r="AE47" s="80"/>
      <c r="AF47" s="2">
        <f>Y47*AE44</f>
        <v>4.5669912366114902</v>
      </c>
      <c r="AH47" s="11" t="s">
        <v>2</v>
      </c>
      <c r="AI47" s="5">
        <f>AI46</f>
        <v>0.38</v>
      </c>
      <c r="AJ47" s="5">
        <f>$Y47/AL45</f>
        <v>12.018397991082869</v>
      </c>
      <c r="AK47" s="5"/>
      <c r="AN47" s="7">
        <f>AN46</f>
        <v>0.1</v>
      </c>
      <c r="AO47" s="7">
        <f>$Y47/AQ45</f>
        <v>45.6699123661149</v>
      </c>
      <c r="AP47" s="7"/>
      <c r="AS47" s="14">
        <f>AS46</f>
        <v>0.86</v>
      </c>
      <c r="AT47" s="14">
        <f>$Y47/AV45</f>
        <v>5.3104549262924312</v>
      </c>
      <c r="AU47" s="14"/>
      <c r="BI47" s="79" t="s">
        <v>185</v>
      </c>
      <c r="BW47" s="106" t="s">
        <v>201</v>
      </c>
      <c r="BY47" t="s">
        <v>171</v>
      </c>
      <c r="CI47" t="s">
        <v>175</v>
      </c>
    </row>
    <row r="48" spans="14:113" x14ac:dyDescent="0.35">
      <c r="U48" s="27"/>
      <c r="BG48" s="79" t="s">
        <v>30</v>
      </c>
      <c r="BI48" s="79" t="s">
        <v>184</v>
      </c>
      <c r="BW48" t="s">
        <v>272</v>
      </c>
      <c r="BY48">
        <v>22.989768999999999</v>
      </c>
      <c r="CA48" t="s">
        <v>181</v>
      </c>
      <c r="CI48" t="s">
        <v>183</v>
      </c>
      <c r="DA48" s="4" t="s">
        <v>234</v>
      </c>
      <c r="DC48" t="s">
        <v>232</v>
      </c>
      <c r="DD48" t="s">
        <v>233</v>
      </c>
      <c r="DE48" t="s">
        <v>21</v>
      </c>
      <c r="DF48" t="s">
        <v>175</v>
      </c>
    </row>
    <row r="49" spans="19:110" x14ac:dyDescent="0.35">
      <c r="U49" s="27"/>
      <c r="W49" s="27"/>
      <c r="Y49" t="s">
        <v>46</v>
      </c>
      <c r="Z49" s="15" t="s">
        <v>31</v>
      </c>
      <c r="AA49" t="s">
        <v>32</v>
      </c>
      <c r="AB49" t="s">
        <v>33</v>
      </c>
      <c r="AE49" s="80">
        <f>F12</f>
        <v>10.613437195715678</v>
      </c>
      <c r="AF49" s="1" t="s">
        <v>24</v>
      </c>
      <c r="AI49" s="1" t="s">
        <v>24</v>
      </c>
      <c r="AM49" s="2"/>
      <c r="AN49" s="1" t="s">
        <v>24</v>
      </c>
      <c r="AO49" s="73"/>
      <c r="AP49" s="6"/>
      <c r="AQ49" s="6"/>
      <c r="AS49" s="1" t="s">
        <v>24</v>
      </c>
      <c r="AT49" s="70"/>
      <c r="AU49" s="13"/>
      <c r="AV49" s="13"/>
      <c r="BG49" s="79" t="s">
        <v>70</v>
      </c>
      <c r="BI49" s="79" t="s">
        <v>70</v>
      </c>
      <c r="BJ49" s="79" t="s">
        <v>30</v>
      </c>
      <c r="BS49" s="79"/>
      <c r="BW49" t="s">
        <v>173</v>
      </c>
      <c r="BX49" t="s">
        <v>173</v>
      </c>
      <c r="BY49" t="s">
        <v>173</v>
      </c>
      <c r="BZ49" t="s">
        <v>173</v>
      </c>
      <c r="CA49" t="s">
        <v>174</v>
      </c>
      <c r="CB49" t="s">
        <v>174</v>
      </c>
      <c r="CC49" t="s">
        <v>174</v>
      </c>
      <c r="CG49" t="s">
        <v>173</v>
      </c>
      <c r="CI49" t="s">
        <v>182</v>
      </c>
      <c r="DA49" t="s">
        <v>20</v>
      </c>
      <c r="DB49">
        <v>10.27</v>
      </c>
      <c r="DC49" t="s">
        <v>76</v>
      </c>
      <c r="DD49">
        <f>DB49/1000</f>
        <v>1.027E-2</v>
      </c>
      <c r="DE49">
        <v>40.078000000000003</v>
      </c>
      <c r="DF49">
        <f t="shared" ref="DF49:DF61" si="45">DD49*DE49*1000</f>
        <v>411.60106000000002</v>
      </c>
    </row>
    <row r="50" spans="19:110" x14ac:dyDescent="0.35">
      <c r="S50" s="27"/>
      <c r="T50" s="27"/>
      <c r="U50" s="27"/>
      <c r="W50" s="27" t="s">
        <v>61</v>
      </c>
      <c r="X50" s="19">
        <f>Y50</f>
        <v>0.44</v>
      </c>
      <c r="Y50" s="25">
        <v>0.44</v>
      </c>
      <c r="AB50" s="8">
        <v>25</v>
      </c>
      <c r="AC50">
        <v>6.3</v>
      </c>
      <c r="AE50" s="80"/>
      <c r="AF50" s="2">
        <f>Y50*AE49</f>
        <v>4.6699123661148985</v>
      </c>
      <c r="AH50" s="41" t="s">
        <v>8</v>
      </c>
      <c r="AI50" s="5">
        <f>K12</f>
        <v>5.7</v>
      </c>
      <c r="AJ50" s="5"/>
      <c r="AK50" s="5">
        <f>AL50/$Y50</f>
        <v>1.2205796497080901</v>
      </c>
      <c r="AL50" s="61">
        <f>AI50/$AE49</f>
        <v>0.53705504587155961</v>
      </c>
      <c r="AM50" s="2">
        <f>1/AL50</f>
        <v>1.8620065255641538</v>
      </c>
      <c r="AN50" s="7">
        <f>I12</f>
        <v>0.76</v>
      </c>
      <c r="AO50" s="7">
        <f>$Y50/AQ50</f>
        <v>6.1446215343617077</v>
      </c>
      <c r="AP50" s="7"/>
      <c r="AQ50" s="71">
        <f>AN50/$AE49</f>
        <v>7.1607339449541285E-2</v>
      </c>
      <c r="AS50" s="14">
        <f>J12</f>
        <v>29.24</v>
      </c>
      <c r="AT50" s="14"/>
      <c r="AU50" s="78">
        <f>AV50/$Y50</f>
        <v>6.261359466221851</v>
      </c>
      <c r="AV50" s="77">
        <f>AS50/$AE49</f>
        <v>2.7549981651376143</v>
      </c>
      <c r="BF50" s="79" t="s">
        <v>127</v>
      </c>
      <c r="BG50" s="96">
        <v>0.03</v>
      </c>
      <c r="BH50" s="84" t="s">
        <v>99</v>
      </c>
      <c r="BI50" s="91">
        <v>2.5000000000000001E-3</v>
      </c>
      <c r="BJ50" s="85" t="s">
        <v>119</v>
      </c>
      <c r="BM50" s="91">
        <v>2.5000000000000001E-3</v>
      </c>
      <c r="BS50" s="79"/>
      <c r="BW50" t="s">
        <v>180</v>
      </c>
      <c r="BX50" t="s">
        <v>170</v>
      </c>
      <c r="BY50" t="s">
        <v>170</v>
      </c>
      <c r="BZ50" t="s">
        <v>1</v>
      </c>
      <c r="CA50" t="s">
        <v>170</v>
      </c>
      <c r="CB50" t="s">
        <v>176</v>
      </c>
      <c r="CC50" t="s">
        <v>1</v>
      </c>
      <c r="CD50" t="s">
        <v>70</v>
      </c>
      <c r="CE50" t="s">
        <v>241</v>
      </c>
      <c r="CG50" t="s">
        <v>170</v>
      </c>
      <c r="CH50" t="s">
        <v>170</v>
      </c>
      <c r="CI50" t="s">
        <v>170</v>
      </c>
      <c r="CJ50" t="s">
        <v>170</v>
      </c>
      <c r="DA50" s="4" t="s">
        <v>10</v>
      </c>
      <c r="DB50" s="4">
        <v>416</v>
      </c>
      <c r="DC50" s="4" t="s">
        <v>77</v>
      </c>
      <c r="DD50">
        <f>DB50/1000000</f>
        <v>4.1599999999999997E-4</v>
      </c>
      <c r="DE50" s="4">
        <v>10.811</v>
      </c>
      <c r="DF50">
        <f t="shared" si="45"/>
        <v>4.497376</v>
      </c>
    </row>
    <row r="51" spans="19:110" x14ac:dyDescent="0.35">
      <c r="S51" s="27"/>
      <c r="T51" s="27"/>
      <c r="U51" s="27"/>
      <c r="W51" s="27" t="s">
        <v>121</v>
      </c>
      <c r="X51" s="19">
        <f>Y51</f>
        <v>1.59</v>
      </c>
      <c r="Y51" s="25">
        <v>1.59</v>
      </c>
      <c r="AB51" s="8">
        <v>25</v>
      </c>
      <c r="AE51" s="80"/>
      <c r="AF51" s="2">
        <f>Y51*AE49</f>
        <v>16.875365141187928</v>
      </c>
      <c r="AI51" s="5">
        <f>AI50</f>
        <v>5.7</v>
      </c>
      <c r="AJ51" s="5">
        <f>$Y51/AL50</f>
        <v>2.9605903756470049</v>
      </c>
      <c r="AK51" s="5"/>
      <c r="AL51" s="61"/>
      <c r="AM51" s="2"/>
      <c r="AN51" s="7">
        <f>AN50</f>
        <v>0.76</v>
      </c>
      <c r="AO51" s="7">
        <f>$Y51/AQ50</f>
        <v>22.204427817352535</v>
      </c>
      <c r="AP51" s="7"/>
      <c r="AQ51" s="71"/>
      <c r="AS51" s="14">
        <f>AS50</f>
        <v>29.24</v>
      </c>
      <c r="AT51" s="14"/>
      <c r="AU51" s="78">
        <f>AV50/$Y51</f>
        <v>1.7327032485142226</v>
      </c>
      <c r="BG51" s="91">
        <v>2.9999999999999997E-4</v>
      </c>
      <c r="BH51" s="84" t="s">
        <v>99</v>
      </c>
      <c r="BI51" s="91">
        <v>2.5000000000000001E-3</v>
      </c>
      <c r="BJ51" s="85" t="s">
        <v>119</v>
      </c>
      <c r="BM51" s="91">
        <v>2.5000000000000001E-3</v>
      </c>
      <c r="BW51" t="s">
        <v>172</v>
      </c>
      <c r="BX51" t="s">
        <v>265</v>
      </c>
      <c r="BY51" t="s">
        <v>264</v>
      </c>
      <c r="BZ51" t="s">
        <v>158</v>
      </c>
      <c r="CA51" t="s">
        <v>175</v>
      </c>
      <c r="CB51" t="s">
        <v>175</v>
      </c>
      <c r="CC51" t="s">
        <v>23</v>
      </c>
      <c r="CG51" t="s">
        <v>177</v>
      </c>
      <c r="CH51" t="s">
        <v>179</v>
      </c>
      <c r="CI51" t="s">
        <v>178</v>
      </c>
      <c r="DA51" s="6" t="s">
        <v>11</v>
      </c>
      <c r="DB51" s="6">
        <v>469</v>
      </c>
      <c r="DC51" t="s">
        <v>76</v>
      </c>
      <c r="DD51">
        <f>DB51/1000</f>
        <v>0.46899999999999997</v>
      </c>
      <c r="DE51" s="6">
        <v>22.989768999999999</v>
      </c>
      <c r="DF51">
        <f t="shared" si="45"/>
        <v>10782.201660999999</v>
      </c>
    </row>
    <row r="52" spans="19:110" x14ac:dyDescent="0.35">
      <c r="S52" s="27"/>
      <c r="T52" s="27"/>
      <c r="U52" s="27"/>
      <c r="W52" s="27" t="s">
        <v>123</v>
      </c>
      <c r="X52" s="19">
        <f>Y52</f>
        <v>2.11</v>
      </c>
      <c r="Y52" s="25">
        <v>2.11</v>
      </c>
      <c r="AB52" s="8">
        <v>25</v>
      </c>
      <c r="AC52">
        <v>9.35</v>
      </c>
      <c r="AE52" s="80"/>
      <c r="AF52" s="2">
        <f>Y52*AE49</f>
        <v>22.394352482960077</v>
      </c>
      <c r="AI52" s="5">
        <f>AI51</f>
        <v>5.7</v>
      </c>
      <c r="AJ52" s="5">
        <f>$Y52/AL50</f>
        <v>3.9288337689403643</v>
      </c>
      <c r="AK52" s="5"/>
      <c r="AM52" s="2"/>
      <c r="AN52" s="7">
        <f>AN51</f>
        <v>0.76</v>
      </c>
      <c r="AO52" s="7">
        <f>$Y52/AQ50</f>
        <v>29.466253267052732</v>
      </c>
      <c r="AP52" s="7"/>
      <c r="AQ52" s="6"/>
      <c r="AS52" s="14">
        <f>AS51</f>
        <v>29.24</v>
      </c>
      <c r="AT52" s="14"/>
      <c r="AU52" s="78">
        <f>AV50/$Y52</f>
        <v>1.3056863341884428</v>
      </c>
      <c r="AV52" s="33"/>
      <c r="BG52" s="96">
        <v>7.0999999999999994E-2</v>
      </c>
      <c r="BH52" s="84" t="s">
        <v>98</v>
      </c>
      <c r="BI52" s="91">
        <v>2.5000000000000001E-3</v>
      </c>
      <c r="BJ52" s="85" t="s">
        <v>124</v>
      </c>
      <c r="BM52" s="91">
        <v>2.5000000000000001E-3</v>
      </c>
      <c r="BS52" s="79"/>
      <c r="BW52">
        <f>(380/1000)/40.078</f>
        <v>9.4815110534457805E-3</v>
      </c>
      <c r="BX52">
        <v>10.5</v>
      </c>
      <c r="BY52">
        <f>BX52*1000/$BY$48</f>
        <v>456.72490228153231</v>
      </c>
      <c r="BZ52">
        <f>BY52/$BW52</f>
        <v>48170.054299050666</v>
      </c>
      <c r="CA52" s="44">
        <v>3678.3630399999997</v>
      </c>
      <c r="CB52">
        <v>400436</v>
      </c>
      <c r="CC52" s="2">
        <f>CA52*40.078/$BY$48/CB52*1000</f>
        <v>16.013745017930457</v>
      </c>
      <c r="CD52" s="15">
        <f>CC52/BZ52</f>
        <v>3.3244191336205439E-4</v>
      </c>
      <c r="CE52">
        <f>CA52/(BX52*1000)</f>
        <v>0.3503202895238095</v>
      </c>
      <c r="CG52">
        <v>10.5</v>
      </c>
      <c r="CH52">
        <v>160</v>
      </c>
      <c r="CI52">
        <f>CH52*$BY$48</f>
        <v>3678.3630399999997</v>
      </c>
      <c r="DA52" s="6" t="s">
        <v>12</v>
      </c>
      <c r="DB52" s="6">
        <v>52.7</v>
      </c>
      <c r="DC52" t="s">
        <v>76</v>
      </c>
      <c r="DD52">
        <f>DB52/1000</f>
        <v>5.2700000000000004E-2</v>
      </c>
      <c r="DE52" s="6">
        <v>24.305</v>
      </c>
      <c r="DF52">
        <f t="shared" si="45"/>
        <v>1280.8734999999999</v>
      </c>
    </row>
    <row r="53" spans="19:110" x14ac:dyDescent="0.35">
      <c r="S53" s="27"/>
      <c r="T53" s="27"/>
      <c r="U53" s="27"/>
      <c r="W53" s="27"/>
      <c r="AE53" s="80"/>
      <c r="AI53" s="4"/>
      <c r="AJ53" s="4"/>
      <c r="AK53" s="4"/>
      <c r="AL53" s="64"/>
      <c r="AM53" s="2"/>
      <c r="AN53" s="6"/>
      <c r="AO53" s="6"/>
      <c r="AP53" s="6"/>
      <c r="AQ53" s="68"/>
      <c r="AS53" s="13"/>
      <c r="AT53" s="13"/>
      <c r="AU53" s="13"/>
      <c r="AV53" s="33"/>
      <c r="BF53" s="98" t="s">
        <v>1</v>
      </c>
      <c r="BG53" s="111">
        <v>4.0000000000000002E-4</v>
      </c>
      <c r="BH53" s="112" t="s">
        <v>142</v>
      </c>
      <c r="BI53" s="101">
        <v>4.4955884861407248E-4</v>
      </c>
      <c r="BJ53" s="100" t="s">
        <v>113</v>
      </c>
      <c r="BK53" s="98"/>
      <c r="BL53" s="98"/>
      <c r="BM53" s="98"/>
      <c r="BN53" s="101">
        <v>4.4955884861407248E-4</v>
      </c>
      <c r="BS53" s="79"/>
      <c r="BW53">
        <f>BW52</f>
        <v>9.4815110534457805E-3</v>
      </c>
      <c r="BX53">
        <f>BX52</f>
        <v>10.5</v>
      </c>
      <c r="BY53">
        <f t="shared" ref="BY53:BY59" si="46">BX53*1000/$BY$48</f>
        <v>456.72490228153231</v>
      </c>
      <c r="BZ53">
        <f t="shared" ref="BZ53:BZ63" si="47">BY53/$BW53</f>
        <v>48170.054299050666</v>
      </c>
      <c r="CA53" s="44">
        <v>3908.26073</v>
      </c>
      <c r="CB53">
        <f>CB52</f>
        <v>400436</v>
      </c>
      <c r="CC53" s="2">
        <f t="shared" ref="CC53:CC59" si="48">CA53*40.078/$BY$48/CB53*1000</f>
        <v>17.014604081551113</v>
      </c>
      <c r="CD53" s="15">
        <f t="shared" ref="CD53:CD63" si="49">CC53/BZ53</f>
        <v>3.5321953294718285E-4</v>
      </c>
      <c r="CE53">
        <f t="shared" ref="CE53:CE63" si="50">CA53/(BX53*1000)</f>
        <v>0.37221530761904764</v>
      </c>
      <c r="CG53">
        <v>10.5</v>
      </c>
      <c r="CH53">
        <v>170</v>
      </c>
      <c r="CI53">
        <f t="shared" ref="CI53:CI63" si="51">CH53*$BY$48</f>
        <v>3908.26073</v>
      </c>
      <c r="DA53" t="s">
        <v>13</v>
      </c>
      <c r="DB53" s="1">
        <v>1.1100000000000001</v>
      </c>
      <c r="DC53" s="1" t="s">
        <v>81</v>
      </c>
      <c r="DD53">
        <f>DB53/1000000000</f>
        <v>1.1100000000000001E-9</v>
      </c>
      <c r="DE53">
        <v>26.981539000000001</v>
      </c>
      <c r="DF53">
        <f t="shared" si="45"/>
        <v>2.9949508290000002E-5</v>
      </c>
    </row>
    <row r="54" spans="19:110" x14ac:dyDescent="0.35">
      <c r="S54" s="27"/>
      <c r="T54" s="27"/>
      <c r="U54" s="27"/>
      <c r="W54" s="27"/>
      <c r="X54" s="19"/>
      <c r="Y54" s="2" t="s">
        <v>47</v>
      </c>
      <c r="Z54" s="15" t="s">
        <v>31</v>
      </c>
      <c r="AA54" t="s">
        <v>32</v>
      </c>
      <c r="AB54" t="s">
        <v>33</v>
      </c>
      <c r="AE54" s="80">
        <f>F4</f>
        <v>40.506329113924053</v>
      </c>
      <c r="AF54" t="s">
        <v>23</v>
      </c>
      <c r="AI54" t="s">
        <v>23</v>
      </c>
      <c r="AJ54" s="4"/>
      <c r="AK54" s="4"/>
      <c r="AL54" s="64"/>
      <c r="AM54" s="2"/>
      <c r="AN54" s="6" t="s">
        <v>23</v>
      </c>
      <c r="AO54" s="6"/>
      <c r="AP54" s="6"/>
      <c r="AQ54" s="68"/>
      <c r="AS54" s="13" t="s">
        <v>23</v>
      </c>
      <c r="AT54" s="13"/>
      <c r="AU54" s="13"/>
      <c r="AV54" s="33"/>
      <c r="AX54">
        <v>4.0099999999999997E-2</v>
      </c>
      <c r="BG54" s="92"/>
      <c r="BH54" s="84"/>
      <c r="BI54" s="91"/>
      <c r="BJ54" s="85"/>
      <c r="BN54" s="91"/>
      <c r="BS54" s="79"/>
      <c r="BW54">
        <f t="shared" ref="BW54:BW60" si="52">BW53</f>
        <v>9.4815110534457805E-3</v>
      </c>
      <c r="BX54">
        <f t="shared" ref="BX54:BX59" si="53">BX53</f>
        <v>10.5</v>
      </c>
      <c r="BY54">
        <f t="shared" si="46"/>
        <v>456.72490228153231</v>
      </c>
      <c r="BZ54">
        <f t="shared" si="47"/>
        <v>48170.054299050666</v>
      </c>
      <c r="CA54" s="44">
        <v>3908.26073</v>
      </c>
      <c r="CB54">
        <f t="shared" ref="CB54:CB59" si="54">CB53</f>
        <v>400436</v>
      </c>
      <c r="CC54" s="2">
        <f t="shared" si="48"/>
        <v>17.014604081551113</v>
      </c>
      <c r="CD54" s="15">
        <f t="shared" si="49"/>
        <v>3.5321953294718285E-4</v>
      </c>
      <c r="CE54">
        <f t="shared" si="50"/>
        <v>0.37221530761904764</v>
      </c>
      <c r="CG54">
        <v>10.5</v>
      </c>
      <c r="CH54">
        <v>170</v>
      </c>
      <c r="CI54">
        <f t="shared" si="51"/>
        <v>3908.26073</v>
      </c>
      <c r="DA54" t="s">
        <v>14</v>
      </c>
      <c r="DB54">
        <v>10.199999999999999</v>
      </c>
      <c r="DC54" t="s">
        <v>76</v>
      </c>
      <c r="DD54">
        <f>DB54/1000</f>
        <v>1.0199999999999999E-2</v>
      </c>
      <c r="DE54">
        <v>39.098300000000002</v>
      </c>
      <c r="DF54">
        <f t="shared" si="45"/>
        <v>398.80266</v>
      </c>
    </row>
    <row r="55" spans="19:110" x14ac:dyDescent="0.35">
      <c r="S55" s="27"/>
      <c r="T55" s="27"/>
      <c r="U55" s="27" t="s">
        <v>208</v>
      </c>
      <c r="W55" s="27" t="s">
        <v>64</v>
      </c>
      <c r="X55" s="19">
        <f>Y55</f>
        <v>0.03</v>
      </c>
      <c r="Y55" s="26">
        <v>0.03</v>
      </c>
      <c r="AB55" s="8" t="s">
        <v>209</v>
      </c>
      <c r="AC55" t="s">
        <v>210</v>
      </c>
      <c r="AE55" s="80"/>
      <c r="AF55" s="2">
        <f>Y55*AE54</f>
        <v>1.2151898734177216</v>
      </c>
      <c r="AH55" s="11" t="s">
        <v>0</v>
      </c>
      <c r="AI55" s="5">
        <f>K4</f>
        <v>0.1</v>
      </c>
      <c r="AJ55" s="5">
        <f>$Y55/AL55</f>
        <v>12.029999999999998</v>
      </c>
      <c r="AK55" s="5"/>
      <c r="AL55" s="63">
        <f>AI55/($AX54*1000)</f>
        <v>2.4937655860349131E-3</v>
      </c>
      <c r="AM55" s="2">
        <f>1/AL55</f>
        <v>400.99999999999994</v>
      </c>
      <c r="AN55" s="7">
        <f>I4</f>
        <v>0.05</v>
      </c>
      <c r="AO55" s="7">
        <f>$Y55/AQ55</f>
        <v>24.059999999999995</v>
      </c>
      <c r="AP55" s="5"/>
      <c r="AQ55" s="74">
        <f>AN55/($AX54*1000)</f>
        <v>1.2468827930174565E-3</v>
      </c>
      <c r="AS55" s="14">
        <f>J4</f>
        <v>0.15</v>
      </c>
      <c r="AT55" s="14">
        <f>$Y55/AV55</f>
        <v>8.02</v>
      </c>
      <c r="AU55" s="5"/>
      <c r="AV55" s="39">
        <f>AS55/($AX54*1000)</f>
        <v>3.7406483790523694E-3</v>
      </c>
      <c r="BF55" s="113" t="s">
        <v>2</v>
      </c>
      <c r="BG55" s="114"/>
      <c r="BH55" s="115"/>
      <c r="BI55" s="114"/>
      <c r="BJ55" s="116"/>
      <c r="BK55" s="113"/>
      <c r="BL55" s="113"/>
      <c r="BM55" s="114"/>
      <c r="BN55" s="113"/>
      <c r="BO55" s="113"/>
      <c r="BS55" s="79"/>
      <c r="BW55">
        <f t="shared" si="52"/>
        <v>9.4815110534457805E-3</v>
      </c>
      <c r="BX55">
        <f t="shared" si="53"/>
        <v>10.5</v>
      </c>
      <c r="BY55">
        <f t="shared" si="46"/>
        <v>456.72490228153231</v>
      </c>
      <c r="BZ55">
        <f t="shared" si="47"/>
        <v>48170.054299050666</v>
      </c>
      <c r="CA55" s="44">
        <v>2988.6699699999999</v>
      </c>
      <c r="CB55">
        <f t="shared" si="54"/>
        <v>400436</v>
      </c>
      <c r="CC55" s="2">
        <f t="shared" si="48"/>
        <v>13.011167827068496</v>
      </c>
      <c r="CD55" s="15">
        <f t="shared" si="49"/>
        <v>2.7010905460666916E-4</v>
      </c>
      <c r="CE55">
        <f t="shared" si="50"/>
        <v>0.28463523523809525</v>
      </c>
      <c r="CG55">
        <v>10.5</v>
      </c>
      <c r="CH55">
        <v>130</v>
      </c>
      <c r="CI55">
        <f t="shared" si="51"/>
        <v>2988.6699699999999</v>
      </c>
      <c r="DA55" s="13" t="s">
        <v>15</v>
      </c>
      <c r="DB55" s="13">
        <v>360</v>
      </c>
      <c r="DC55" s="13" t="s">
        <v>79</v>
      </c>
      <c r="DD55">
        <f>DB55/1000000000000</f>
        <v>3.6E-10</v>
      </c>
      <c r="DE55" s="13">
        <v>54.938043999999998</v>
      </c>
      <c r="DF55">
        <f t="shared" si="45"/>
        <v>1.9777695839999997E-5</v>
      </c>
    </row>
    <row r="56" spans="19:110" x14ac:dyDescent="0.35">
      <c r="W56" s="27" t="s">
        <v>64</v>
      </c>
      <c r="X56" s="19">
        <f>Y56</f>
        <v>2.9999999999999997E-4</v>
      </c>
      <c r="Y56" s="26">
        <v>2.9999999999999997E-4</v>
      </c>
      <c r="AB56" s="8" t="s">
        <v>209</v>
      </c>
      <c r="AC56" t="s">
        <v>210</v>
      </c>
      <c r="AE56" s="80"/>
      <c r="AF56" s="2">
        <f>Y56*AE54</f>
        <v>1.2151898734177215E-2</v>
      </c>
      <c r="AH56" s="11" t="s">
        <v>0</v>
      </c>
      <c r="AI56" s="5">
        <f>AI55</f>
        <v>0.1</v>
      </c>
      <c r="AJ56" s="5"/>
      <c r="AK56" s="5">
        <f>AL56/$Y56</f>
        <v>8.3125519534497112</v>
      </c>
      <c r="AL56" s="63">
        <f>AI56/($AX54*1000)</f>
        <v>2.4937655860349131E-3</v>
      </c>
      <c r="AM56" s="2">
        <f>1/AL56</f>
        <v>400.99999999999994</v>
      </c>
      <c r="AN56" s="7">
        <f>AN55</f>
        <v>0.05</v>
      </c>
      <c r="AO56" s="7"/>
      <c r="AP56" s="5">
        <f>AQ56/$Y56</f>
        <v>4.1562759767248556</v>
      </c>
      <c r="AQ56" s="74">
        <f>AN56/($AX54*1000)</f>
        <v>1.2468827930174565E-3</v>
      </c>
      <c r="AS56" s="14">
        <f>AS55</f>
        <v>0.15</v>
      </c>
      <c r="AT56" s="14"/>
      <c r="AU56" s="14">
        <f>AV56/$Y56</f>
        <v>12.468827930174566</v>
      </c>
      <c r="AV56" s="39">
        <f>AS56/($AX54*1000)</f>
        <v>3.7406483790523694E-3</v>
      </c>
      <c r="BF56" s="113"/>
      <c r="BG56" s="114">
        <v>1.227E-3</v>
      </c>
      <c r="BH56" s="117" t="s">
        <v>156</v>
      </c>
      <c r="BI56" s="114">
        <v>7.4053130929791264E-5</v>
      </c>
      <c r="BJ56" s="116" t="s">
        <v>169</v>
      </c>
      <c r="BK56" s="113"/>
      <c r="BL56" s="113"/>
      <c r="BM56" s="113"/>
      <c r="BN56" s="113"/>
      <c r="BO56" s="114">
        <v>7.4053130929791264E-5</v>
      </c>
      <c r="BS56" s="79"/>
      <c r="BW56">
        <f t="shared" si="52"/>
        <v>9.4815110534457805E-3</v>
      </c>
      <c r="BX56">
        <f t="shared" si="53"/>
        <v>10.5</v>
      </c>
      <c r="BY56">
        <f t="shared" si="46"/>
        <v>456.72490228153231</v>
      </c>
      <c r="BZ56">
        <f t="shared" si="47"/>
        <v>48170.054299050666</v>
      </c>
      <c r="CA56" s="44">
        <v>2528.8745899999999</v>
      </c>
      <c r="CB56">
        <f t="shared" si="54"/>
        <v>400436</v>
      </c>
      <c r="CC56" s="2">
        <f t="shared" si="48"/>
        <v>11.00944969982719</v>
      </c>
      <c r="CD56" s="15">
        <f t="shared" si="49"/>
        <v>2.2855381543641242E-4</v>
      </c>
      <c r="CE56">
        <f t="shared" si="50"/>
        <v>0.24084519904761903</v>
      </c>
      <c r="CG56">
        <v>10.5</v>
      </c>
      <c r="CH56">
        <v>110</v>
      </c>
      <c r="CI56">
        <f t="shared" si="51"/>
        <v>2528.8745899999999</v>
      </c>
      <c r="DA56" s="1" t="s">
        <v>16</v>
      </c>
      <c r="DB56" s="1">
        <v>5.4</v>
      </c>
      <c r="DC56" s="1" t="s">
        <v>81</v>
      </c>
      <c r="DD56">
        <f>DB56/1000000000</f>
        <v>5.4000000000000004E-9</v>
      </c>
      <c r="DE56" s="6">
        <v>65.38</v>
      </c>
      <c r="DF56">
        <f t="shared" si="45"/>
        <v>3.5305200000000002E-4</v>
      </c>
    </row>
    <row r="57" spans="19:110" x14ac:dyDescent="0.35">
      <c r="S57" s="27"/>
      <c r="T57" s="27"/>
      <c r="U57" s="27"/>
      <c r="W57" s="27" t="s">
        <v>100</v>
      </c>
      <c r="X57" s="19">
        <f>Y57</f>
        <v>7.0999999999999994E-2</v>
      </c>
      <c r="Y57" s="25">
        <v>7.0999999999999994E-2</v>
      </c>
      <c r="AB57" s="8" t="s">
        <v>125</v>
      </c>
      <c r="AC57">
        <v>8.0500000000000007</v>
      </c>
      <c r="AD57" t="s">
        <v>66</v>
      </c>
      <c r="AE57" s="80"/>
      <c r="AF57" s="2">
        <f>Y57*AE54</f>
        <v>2.8759493670886074</v>
      </c>
      <c r="AI57" s="5">
        <f>AI55</f>
        <v>0.1</v>
      </c>
      <c r="AJ57" s="5">
        <f>$Y57/AL55</f>
        <v>28.470999999999993</v>
      </c>
      <c r="AK57" s="5"/>
      <c r="AL57" s="64"/>
      <c r="AM57" s="2"/>
      <c r="AN57" s="7">
        <f>AN55</f>
        <v>0.05</v>
      </c>
      <c r="AO57" s="7">
        <f>$Y57/AQ55</f>
        <v>56.941999999999986</v>
      </c>
      <c r="AP57" s="7"/>
      <c r="AQ57" s="68"/>
      <c r="AS57" s="14">
        <f>AS55</f>
        <v>0.15</v>
      </c>
      <c r="AT57" s="14">
        <f>$Y57/AV55</f>
        <v>18.980666666666664</v>
      </c>
      <c r="AU57" s="14"/>
      <c r="AV57" s="33"/>
      <c r="BF57" s="113"/>
      <c r="BG57" s="114">
        <v>2.367479090582528E-3</v>
      </c>
      <c r="BH57" s="117" t="s">
        <v>111</v>
      </c>
      <c r="BI57" s="114">
        <v>7.4053130929791264E-5</v>
      </c>
      <c r="BJ57" s="113" t="s">
        <v>151</v>
      </c>
      <c r="BK57" s="113"/>
      <c r="BL57" s="113"/>
      <c r="BM57" s="113"/>
      <c r="BN57" s="113"/>
      <c r="BO57" s="114">
        <v>7.4053130929791264E-5</v>
      </c>
      <c r="BS57" s="79"/>
      <c r="BW57">
        <f t="shared" si="52"/>
        <v>9.4815110534457805E-3</v>
      </c>
      <c r="BX57">
        <f t="shared" si="53"/>
        <v>10.5</v>
      </c>
      <c r="BY57">
        <f t="shared" si="46"/>
        <v>456.72490228153231</v>
      </c>
      <c r="BZ57">
        <f t="shared" si="47"/>
        <v>48170.054299050666</v>
      </c>
      <c r="CA57" s="44">
        <v>3218.5676599999997</v>
      </c>
      <c r="CB57">
        <f t="shared" si="54"/>
        <v>400436</v>
      </c>
      <c r="CC57" s="2">
        <f t="shared" si="48"/>
        <v>14.01202689068915</v>
      </c>
      <c r="CD57" s="15">
        <f t="shared" si="49"/>
        <v>2.9088667419179757E-4</v>
      </c>
      <c r="CE57">
        <f t="shared" si="50"/>
        <v>0.30653025333333328</v>
      </c>
      <c r="CG57">
        <v>7.5</v>
      </c>
      <c r="CH57">
        <v>120</v>
      </c>
      <c r="CI57">
        <f t="shared" si="51"/>
        <v>2758.7722799999997</v>
      </c>
      <c r="DA57" s="4" t="s">
        <v>17</v>
      </c>
      <c r="DB57" s="4">
        <v>89</v>
      </c>
      <c r="DC57" s="4" t="s">
        <v>77</v>
      </c>
      <c r="DD57">
        <f>DB57/1000000</f>
        <v>8.8999999999999995E-5</v>
      </c>
      <c r="DE57" s="4">
        <v>87.62</v>
      </c>
      <c r="DF57">
        <f t="shared" si="45"/>
        <v>7.7981800000000003</v>
      </c>
    </row>
    <row r="58" spans="19:110" x14ac:dyDescent="0.35">
      <c r="S58" s="27"/>
      <c r="T58" s="27"/>
      <c r="U58" s="27"/>
      <c r="W58" s="27"/>
      <c r="AE58" s="80"/>
      <c r="AI58" s="4"/>
      <c r="AJ58" s="4"/>
      <c r="AK58" s="4"/>
      <c r="AL58" s="64"/>
      <c r="AM58" s="2"/>
      <c r="AN58" s="6"/>
      <c r="AO58" s="6"/>
      <c r="AP58" s="6"/>
      <c r="AQ58" s="68"/>
      <c r="AS58" s="13"/>
      <c r="AT58" s="13"/>
      <c r="AU58" s="13"/>
      <c r="AV58" s="33"/>
      <c r="AX58" t="s">
        <v>126</v>
      </c>
      <c r="BF58" s="113"/>
      <c r="BG58" s="114">
        <v>1.8935009055317238E-3</v>
      </c>
      <c r="BH58" s="117" t="s">
        <v>111</v>
      </c>
      <c r="BI58" s="114">
        <v>7.4053130929791264E-5</v>
      </c>
      <c r="BJ58" s="113" t="s">
        <v>152</v>
      </c>
      <c r="BK58" s="113"/>
      <c r="BL58" s="113"/>
      <c r="BM58" s="113"/>
      <c r="BN58" s="113"/>
      <c r="BO58" s="114">
        <v>7.4053130929791264E-5</v>
      </c>
      <c r="BS58" s="79"/>
      <c r="BW58">
        <f t="shared" si="52"/>
        <v>9.4815110534457805E-3</v>
      </c>
      <c r="BX58">
        <f t="shared" si="53"/>
        <v>10.5</v>
      </c>
      <c r="BY58">
        <f t="shared" si="46"/>
        <v>456.72490228153231</v>
      </c>
      <c r="BZ58">
        <f t="shared" si="47"/>
        <v>48170.054299050666</v>
      </c>
      <c r="CA58" s="44">
        <v>2758.7722799999997</v>
      </c>
      <c r="CB58">
        <f t="shared" si="54"/>
        <v>400436</v>
      </c>
      <c r="CC58" s="2">
        <f t="shared" si="48"/>
        <v>12.010308763447844</v>
      </c>
      <c r="CD58" s="15">
        <f t="shared" si="49"/>
        <v>2.4933143502154081E-4</v>
      </c>
      <c r="CE58">
        <f t="shared" si="50"/>
        <v>0.26274021714285711</v>
      </c>
      <c r="CG58">
        <v>5</v>
      </c>
      <c r="CH58">
        <v>110</v>
      </c>
      <c r="CI58">
        <f t="shared" si="51"/>
        <v>2528.8745899999999</v>
      </c>
      <c r="DA58" s="1" t="s">
        <v>18</v>
      </c>
      <c r="DB58" s="1">
        <v>109</v>
      </c>
      <c r="DC58" s="1" t="s">
        <v>81</v>
      </c>
      <c r="DD58">
        <f>DB58/1000000000</f>
        <v>1.09E-7</v>
      </c>
      <c r="DE58" s="6">
        <v>137.327</v>
      </c>
      <c r="DF58">
        <f t="shared" si="45"/>
        <v>1.4968642999999998E-2</v>
      </c>
    </row>
    <row r="59" spans="19:110" x14ac:dyDescent="0.35">
      <c r="S59" s="27"/>
      <c r="T59" s="27"/>
      <c r="U59" s="27"/>
      <c r="W59" s="27"/>
      <c r="X59" s="19"/>
      <c r="Y59" s="2" t="s">
        <v>48</v>
      </c>
      <c r="Z59" s="15" t="s">
        <v>31</v>
      </c>
      <c r="AA59" t="s">
        <v>32</v>
      </c>
      <c r="AB59" t="s">
        <v>33</v>
      </c>
      <c r="AE59" s="80">
        <f>F5*1000</f>
        <v>45666.991236611495</v>
      </c>
      <c r="AF59" t="s">
        <v>23</v>
      </c>
      <c r="AI59" t="s">
        <v>23</v>
      </c>
      <c r="AJ59" s="4"/>
      <c r="AK59" s="4"/>
      <c r="AL59" s="64"/>
      <c r="AM59" s="2"/>
      <c r="AN59" s="6" t="s">
        <v>23</v>
      </c>
      <c r="AO59" s="6"/>
      <c r="AP59" s="6"/>
      <c r="AQ59" s="68"/>
      <c r="AS59" s="13" t="s">
        <v>23</v>
      </c>
      <c r="AT59" s="13"/>
      <c r="AU59" s="13"/>
      <c r="AV59" s="33"/>
      <c r="BF59" s="113"/>
      <c r="BG59" s="114"/>
      <c r="BH59" s="117"/>
      <c r="BI59" s="114"/>
      <c r="BJ59" s="113"/>
      <c r="BK59" s="113"/>
      <c r="BL59" s="113"/>
      <c r="BM59" s="114"/>
      <c r="BN59" s="113"/>
      <c r="BO59" s="113"/>
      <c r="BS59" s="79"/>
      <c r="BW59">
        <f t="shared" si="52"/>
        <v>9.4815110534457805E-3</v>
      </c>
      <c r="BX59">
        <f t="shared" si="53"/>
        <v>10.5</v>
      </c>
      <c r="BY59">
        <f t="shared" si="46"/>
        <v>456.72490228153231</v>
      </c>
      <c r="BZ59">
        <f t="shared" si="47"/>
        <v>48170.054299050666</v>
      </c>
      <c r="CA59" s="44">
        <v>2758.7722799999997</v>
      </c>
      <c r="CB59">
        <f t="shared" si="54"/>
        <v>400436</v>
      </c>
      <c r="CC59" s="2">
        <f t="shared" si="48"/>
        <v>12.010308763447844</v>
      </c>
      <c r="CD59" s="15">
        <f t="shared" si="49"/>
        <v>2.4933143502154081E-4</v>
      </c>
      <c r="CE59">
        <f t="shared" si="50"/>
        <v>0.26274021714285711</v>
      </c>
      <c r="CG59">
        <v>2.5</v>
      </c>
      <c r="CH59">
        <v>80</v>
      </c>
      <c r="CI59">
        <f t="shared" si="51"/>
        <v>1839.1815199999999</v>
      </c>
      <c r="DA59" s="1" t="s">
        <v>19</v>
      </c>
      <c r="DB59" s="13">
        <v>13</v>
      </c>
      <c r="DC59" s="13" t="s">
        <v>79</v>
      </c>
      <c r="DD59">
        <f>DB59/1000000000000</f>
        <v>1.3E-11</v>
      </c>
      <c r="DE59" s="6">
        <v>207.2</v>
      </c>
      <c r="DF59">
        <f t="shared" si="45"/>
        <v>2.6935999999999999E-6</v>
      </c>
    </row>
    <row r="60" spans="19:110" x14ac:dyDescent="0.35">
      <c r="S60" s="27"/>
      <c r="T60" s="27"/>
      <c r="U60" s="27"/>
      <c r="W60" s="27" t="s">
        <v>72</v>
      </c>
      <c r="X60" s="22">
        <f>Y60</f>
        <v>4.0000000000000002E-4</v>
      </c>
      <c r="Y60" s="26">
        <f>0.4*10^-3</f>
        <v>4.0000000000000002E-4</v>
      </c>
      <c r="AB60" s="8">
        <v>15</v>
      </c>
      <c r="AE60" s="80"/>
      <c r="AF60" s="2">
        <f>Y60*AE59</f>
        <v>18.266796494644598</v>
      </c>
      <c r="AH60" s="11" t="s">
        <v>1</v>
      </c>
      <c r="AI60" s="5">
        <f>K5</f>
        <v>20.53</v>
      </c>
      <c r="AJ60" s="5"/>
      <c r="AK60" s="5">
        <f>AL60/$Y60</f>
        <v>1.1238971215351812</v>
      </c>
      <c r="AL60" s="62">
        <f>AI60/$AE59</f>
        <v>4.4955884861407248E-4</v>
      </c>
      <c r="AM60" s="2">
        <f>1/AL60</f>
        <v>2224.4028853683144</v>
      </c>
      <c r="AN60" s="7">
        <f>I5</f>
        <v>16.05</v>
      </c>
      <c r="AO60" s="7">
        <f>$Y60/AQ60</f>
        <v>1.1381181616600997</v>
      </c>
      <c r="AP60" s="7"/>
      <c r="AQ60" s="75">
        <f>AN60/$AE59</f>
        <v>3.5145735607675901E-4</v>
      </c>
      <c r="AS60" s="14">
        <f>J5</f>
        <v>26.96</v>
      </c>
      <c r="AT60" s="14"/>
      <c r="AU60" s="14">
        <f>AV60/$Y60</f>
        <v>1.4759019189765457</v>
      </c>
      <c r="AV60" s="35">
        <f>AS60/$AE59</f>
        <v>5.903607675906183E-4</v>
      </c>
      <c r="BF60" s="113"/>
      <c r="BG60" s="114">
        <v>1.49E-2</v>
      </c>
      <c r="BH60" s="117" t="s">
        <v>111</v>
      </c>
      <c r="BI60" s="114">
        <v>7.4053130929791264E-5</v>
      </c>
      <c r="BJ60" s="113" t="s">
        <v>115</v>
      </c>
      <c r="BK60" s="113"/>
      <c r="BL60" s="113"/>
      <c r="BM60" s="113"/>
      <c r="BN60" s="113"/>
      <c r="BO60" s="114">
        <v>7.4053130929791264E-5</v>
      </c>
      <c r="BS60" s="79"/>
      <c r="BW60">
        <f t="shared" si="52"/>
        <v>9.4815110534457805E-3</v>
      </c>
      <c r="BX60">
        <v>7.5</v>
      </c>
      <c r="BY60">
        <f>BX60*1000/$BY$48</f>
        <v>326.23207305823735</v>
      </c>
      <c r="BZ60">
        <f t="shared" si="47"/>
        <v>34407.181642179043</v>
      </c>
      <c r="CA60" s="44">
        <v>2758.7722799999997</v>
      </c>
      <c r="CB60">
        <f>CB52</f>
        <v>400436</v>
      </c>
      <c r="CC60" s="2">
        <f>CA60*40.078/$BY$48/CB60*1000</f>
        <v>12.010308763447844</v>
      </c>
      <c r="CD60" s="15">
        <f t="shared" si="49"/>
        <v>3.4906400903015716E-4</v>
      </c>
      <c r="CE60">
        <f t="shared" si="50"/>
        <v>0.36783630399999995</v>
      </c>
      <c r="CG60">
        <v>1</v>
      </c>
      <c r="CH60">
        <v>59</v>
      </c>
      <c r="CI60">
        <f t="shared" si="51"/>
        <v>1356.396371</v>
      </c>
      <c r="DA60" s="6" t="s">
        <v>55</v>
      </c>
      <c r="DB60" s="4">
        <v>25.9</v>
      </c>
      <c r="DC60" s="4" t="s">
        <v>77</v>
      </c>
      <c r="DD60">
        <f>DB60/1000000</f>
        <v>2.5899999999999999E-5</v>
      </c>
      <c r="DE60" s="6">
        <v>6.9409999999999998</v>
      </c>
      <c r="DF60">
        <f t="shared" si="45"/>
        <v>0.17977189999999998</v>
      </c>
    </row>
    <row r="61" spans="19:110" x14ac:dyDescent="0.35">
      <c r="S61" s="27"/>
      <c r="T61" s="27"/>
      <c r="U61" s="27"/>
      <c r="W61" s="27" t="s">
        <v>128</v>
      </c>
      <c r="X61" s="22">
        <f>Y61</f>
        <v>4.2999999999999999E-4</v>
      </c>
      <c r="Y61" s="26">
        <v>4.2999999999999999E-4</v>
      </c>
      <c r="AB61" s="8">
        <v>25</v>
      </c>
      <c r="AE61" s="80"/>
      <c r="AF61" s="2">
        <f>Y61*AE59</f>
        <v>19.636806231742941</v>
      </c>
      <c r="AI61" s="5">
        <f>AI60</f>
        <v>20.53</v>
      </c>
      <c r="AJ61" s="5"/>
      <c r="AK61" s="5">
        <f>AL60/$Y61</f>
        <v>1.0454856944513313</v>
      </c>
      <c r="AL61" s="62"/>
      <c r="AM61" s="2"/>
      <c r="AN61" s="7">
        <f>AN60</f>
        <v>16.05</v>
      </c>
      <c r="AO61" s="7">
        <f>$Y61/AQ60</f>
        <v>1.2234770237846071</v>
      </c>
      <c r="AP61" s="7"/>
      <c r="AQ61" s="75"/>
      <c r="AS61" s="14">
        <f>AS60</f>
        <v>26.96</v>
      </c>
      <c r="AT61" s="14"/>
      <c r="AU61" s="14">
        <f>AV60/$Y61</f>
        <v>1.3729320176526008</v>
      </c>
      <c r="AV61" s="35"/>
      <c r="BF61" s="113"/>
      <c r="BG61" s="114">
        <v>1.6999999999999999E-3</v>
      </c>
      <c r="BH61" s="117" t="s">
        <v>111</v>
      </c>
      <c r="BI61" s="114">
        <v>7.4053130929791264E-5</v>
      </c>
      <c r="BJ61" s="113" t="s">
        <v>117</v>
      </c>
      <c r="BK61" s="113"/>
      <c r="BL61" s="113"/>
      <c r="BM61" s="113"/>
      <c r="BN61" s="113"/>
      <c r="BO61" s="114">
        <v>7.4053130929791264E-5</v>
      </c>
      <c r="BS61" s="79"/>
      <c r="BW61">
        <f>BW60</f>
        <v>9.4815110534457805E-3</v>
      </c>
      <c r="BX61">
        <v>5</v>
      </c>
      <c r="BY61">
        <f>BX61*1000/$BY$48</f>
        <v>217.48804870549156</v>
      </c>
      <c r="BZ61">
        <f t="shared" si="47"/>
        <v>22938.121094786031</v>
      </c>
      <c r="CA61" s="44">
        <v>2528.8745899999999</v>
      </c>
      <c r="CB61">
        <f>CB60</f>
        <v>400436</v>
      </c>
      <c r="CC61" s="2">
        <f>CA61*40.078/$BY$48/CB61*1000</f>
        <v>11.00944969982719</v>
      </c>
      <c r="CD61" s="15">
        <f t="shared" si="49"/>
        <v>4.7996301241646605E-4</v>
      </c>
      <c r="CE61">
        <f t="shared" si="50"/>
        <v>0.50577491799999996</v>
      </c>
      <c r="CG61">
        <v>10.5</v>
      </c>
      <c r="CH61">
        <v>140</v>
      </c>
      <c r="CI61">
        <f t="shared" si="51"/>
        <v>3218.5676599999997</v>
      </c>
      <c r="DA61" s="1" t="s">
        <v>57</v>
      </c>
      <c r="DB61" s="1">
        <v>13.4</v>
      </c>
      <c r="DC61" s="1" t="s">
        <v>81</v>
      </c>
      <c r="DD61">
        <f>DB61/1000000000</f>
        <v>1.3400000000000001E-8</v>
      </c>
      <c r="DE61" s="6">
        <v>238.02891</v>
      </c>
      <c r="DF61">
        <f t="shared" si="45"/>
        <v>3.189587394E-3</v>
      </c>
    </row>
    <row r="62" spans="19:110" x14ac:dyDescent="0.35">
      <c r="S62" s="27"/>
      <c r="T62" s="27"/>
      <c r="U62" s="27"/>
      <c r="W62" s="27"/>
      <c r="AE62" s="80"/>
      <c r="AI62" s="4"/>
      <c r="AJ62" s="4"/>
      <c r="AK62" s="4"/>
      <c r="AL62" s="64"/>
      <c r="AM62" s="2"/>
      <c r="AN62" s="6"/>
      <c r="AO62" s="6"/>
      <c r="AP62" s="6"/>
      <c r="AQ62" s="68"/>
      <c r="AS62" s="13"/>
      <c r="AT62" s="13"/>
      <c r="AU62" s="13"/>
      <c r="AV62" s="33"/>
      <c r="BG62" s="92"/>
      <c r="BH62" s="86"/>
      <c r="BI62" s="92"/>
      <c r="BM62" s="92"/>
      <c r="BS62" s="79"/>
      <c r="BW62">
        <f>BW61</f>
        <v>9.4815110534457805E-3</v>
      </c>
      <c r="BX62">
        <v>2.5</v>
      </c>
      <c r="BY62">
        <f>BX62*1000/$BY$48</f>
        <v>108.74402435274578</v>
      </c>
      <c r="BZ62">
        <f t="shared" si="47"/>
        <v>11469.060547393015</v>
      </c>
      <c r="CA62" s="44">
        <v>1839.1815199999999</v>
      </c>
      <c r="CB62">
        <f>CB61</f>
        <v>400436</v>
      </c>
      <c r="CC62" s="2">
        <f>CA62*40.078/$BY$48/CB62*1000</f>
        <v>8.0068725089652286</v>
      </c>
      <c r="CD62" s="15">
        <f t="shared" si="49"/>
        <v>6.9812801806031421E-4</v>
      </c>
      <c r="CE62">
        <f t="shared" si="50"/>
        <v>0.73567260799999989</v>
      </c>
      <c r="CG62">
        <v>10.5</v>
      </c>
      <c r="CH62">
        <v>120</v>
      </c>
      <c r="CI62">
        <f t="shared" si="51"/>
        <v>2758.7722799999997</v>
      </c>
    </row>
    <row r="63" spans="19:110" x14ac:dyDescent="0.35">
      <c r="S63" s="27"/>
      <c r="T63" s="27"/>
      <c r="U63" s="27"/>
      <c r="W63" s="27"/>
      <c r="X63" s="19"/>
      <c r="Y63" s="2" t="s">
        <v>49</v>
      </c>
      <c r="Z63" s="15" t="s">
        <v>31</v>
      </c>
      <c r="AA63" t="s">
        <v>32</v>
      </c>
      <c r="AB63" t="s">
        <v>33</v>
      </c>
      <c r="AE63" s="80">
        <f>F7</f>
        <v>0.10808179162609544</v>
      </c>
      <c r="AF63" s="1" t="s">
        <v>24</v>
      </c>
      <c r="AI63" t="s">
        <v>23</v>
      </c>
      <c r="AJ63" s="4"/>
      <c r="AK63" s="4"/>
      <c r="AL63" s="64"/>
      <c r="AM63" s="2"/>
      <c r="AN63" s="6" t="s">
        <v>23</v>
      </c>
      <c r="AO63" s="6"/>
      <c r="AP63" s="6"/>
      <c r="AQ63" s="68"/>
      <c r="AS63" s="13" t="s">
        <v>23</v>
      </c>
      <c r="AT63" s="13"/>
      <c r="AU63" s="13"/>
      <c r="AV63" s="33"/>
      <c r="BG63" s="85"/>
      <c r="BH63" s="85"/>
      <c r="BI63" s="85"/>
      <c r="BJ63" s="85"/>
      <c r="BM63" s="85"/>
      <c r="BS63" s="79"/>
      <c r="BW63">
        <f>BW62</f>
        <v>9.4815110534457805E-3</v>
      </c>
      <c r="BX63">
        <v>1</v>
      </c>
      <c r="BY63">
        <f>BX63*1000/$BY$48</f>
        <v>43.497609741098316</v>
      </c>
      <c r="BZ63">
        <f t="shared" si="47"/>
        <v>4587.6242189572058</v>
      </c>
      <c r="CA63" s="44">
        <v>1356.396371</v>
      </c>
      <c r="CB63">
        <f>CB62</f>
        <v>400436</v>
      </c>
      <c r="CC63" s="2">
        <f>CA63*40.078/$BY$48/CB63*1000</f>
        <v>5.9050684753618556</v>
      </c>
      <c r="CD63" s="15">
        <f t="shared" si="49"/>
        <v>1.2871735332987044E-3</v>
      </c>
      <c r="CE63">
        <f t="shared" si="50"/>
        <v>1.356396371</v>
      </c>
      <c r="CG63">
        <v>10.5</v>
      </c>
      <c r="CH63">
        <v>120</v>
      </c>
      <c r="CI63">
        <f t="shared" si="51"/>
        <v>2758.7722799999997</v>
      </c>
    </row>
    <row r="64" spans="19:110" x14ac:dyDescent="0.35">
      <c r="S64" s="27"/>
      <c r="T64" s="27"/>
      <c r="U64" s="27"/>
      <c r="W64" s="27"/>
      <c r="X64" s="19">
        <f>Y64</f>
        <v>0</v>
      </c>
      <c r="Y64" s="66"/>
      <c r="AB64" s="8"/>
      <c r="AE64" s="80"/>
      <c r="AF64" s="66">
        <f>Y64*AE63</f>
        <v>0</v>
      </c>
      <c r="AH64" s="41" t="s">
        <v>3</v>
      </c>
      <c r="AI64" s="5">
        <f>K7</f>
        <v>0.01</v>
      </c>
      <c r="AJ64" s="102">
        <f>$Y64/AL64</f>
        <v>0</v>
      </c>
      <c r="AK64" s="102" t="e">
        <f>AL64/$Y64</f>
        <v>#DIV/0!</v>
      </c>
      <c r="AL64" s="61">
        <f>(AI64*1000)/$AE63</f>
        <v>92.522522522522507</v>
      </c>
      <c r="AM64" s="2">
        <f>1/AL64</f>
        <v>1.0808179162609545E-2</v>
      </c>
      <c r="AN64" s="53">
        <f>I7</f>
        <v>2.0000000000000001E-4</v>
      </c>
      <c r="AO64" s="103">
        <f>$Y64/AQ64</f>
        <v>0</v>
      </c>
      <c r="AP64" s="103" t="e">
        <f>AQ64/$Y64</f>
        <v>#DIV/0!</v>
      </c>
      <c r="AQ64" s="74">
        <f>(AN64*1000)/$AE63</f>
        <v>1.8504504504504504</v>
      </c>
      <c r="AS64" s="14">
        <f>J7</f>
        <v>0.2</v>
      </c>
      <c r="AT64" s="104">
        <f>$Y64/AV64</f>
        <v>0</v>
      </c>
      <c r="AU64" s="104" t="e">
        <f>AV64/$Y64</f>
        <v>#DIV/0!</v>
      </c>
      <c r="AV64" s="77">
        <f>(AS64*1000)/$AE63</f>
        <v>1850.4504504504503</v>
      </c>
      <c r="BF64" s="107" t="s">
        <v>4</v>
      </c>
      <c r="BG64" s="108">
        <v>5.0000000000000002E-5</v>
      </c>
      <c r="BH64" s="109" t="s">
        <v>129</v>
      </c>
      <c r="BI64" s="108">
        <v>7.0480392156862745E-5</v>
      </c>
      <c r="BJ64" s="110" t="s">
        <v>112</v>
      </c>
      <c r="BK64" s="107"/>
      <c r="BL64" s="107"/>
      <c r="BM64" s="107"/>
      <c r="BN64" s="107"/>
      <c r="BO64" s="107"/>
      <c r="BP64" s="108">
        <v>7.0480392156862745E-5</v>
      </c>
      <c r="BS64" s="79"/>
      <c r="CD64" s="15"/>
    </row>
    <row r="65" spans="19:85" x14ac:dyDescent="0.35">
      <c r="S65" s="27"/>
      <c r="T65" s="27"/>
      <c r="U65" s="27"/>
      <c r="W65" s="27"/>
      <c r="AE65" s="80"/>
      <c r="AI65" s="4"/>
      <c r="AJ65" s="4"/>
      <c r="AK65" s="4"/>
      <c r="AL65" s="64"/>
      <c r="AM65" s="2"/>
      <c r="AN65" s="6"/>
      <c r="AO65" s="6"/>
      <c r="AP65" s="6"/>
      <c r="AQ65" s="68"/>
      <c r="AS65" s="13"/>
      <c r="AT65" s="13"/>
      <c r="AU65" s="13"/>
      <c r="AV65" s="33"/>
      <c r="BG65" s="85"/>
      <c r="BH65" s="85"/>
      <c r="BI65" s="85"/>
      <c r="BJ65" s="85"/>
      <c r="BM65" s="85"/>
      <c r="BS65" s="79"/>
      <c r="CD65" s="15">
        <f>AVERAGE(CD52:CD63)</f>
        <v>4.2845183052833523E-4</v>
      </c>
      <c r="CE65" s="15">
        <f>AVERAGE(CE52:CE63)</f>
        <v>0.45149351897222217</v>
      </c>
    </row>
    <row r="66" spans="19:85" x14ac:dyDescent="0.35">
      <c r="S66" s="27"/>
      <c r="T66" s="27"/>
      <c r="U66" s="27"/>
      <c r="W66" s="27"/>
      <c r="X66" s="19"/>
      <c r="Y66" s="2" t="s">
        <v>50</v>
      </c>
      <c r="Z66" s="15" t="s">
        <v>31</v>
      </c>
      <c r="AA66" t="s">
        <v>32</v>
      </c>
      <c r="AB66" t="s">
        <v>33</v>
      </c>
      <c r="AE66" s="80">
        <f>F8*1000</f>
        <v>993.18403115871467</v>
      </c>
      <c r="AF66" t="s">
        <v>23</v>
      </c>
      <c r="AI66" t="s">
        <v>23</v>
      </c>
      <c r="AJ66" s="4"/>
      <c r="AK66" s="4"/>
      <c r="AL66" s="64"/>
      <c r="AM66" s="2"/>
      <c r="AN66" s="6" t="s">
        <v>23</v>
      </c>
      <c r="AO66" s="6"/>
      <c r="AP66" s="6"/>
      <c r="AQ66" s="68"/>
      <c r="AS66" s="13" t="s">
        <v>23</v>
      </c>
      <c r="AT66" s="13"/>
      <c r="AU66" s="13"/>
      <c r="AV66" s="33"/>
      <c r="BF66" s="119" t="s">
        <v>6</v>
      </c>
      <c r="BG66" s="120">
        <v>3.2</v>
      </c>
      <c r="BH66" s="121" t="s">
        <v>67</v>
      </c>
      <c r="BI66" s="120">
        <v>3.6325370370370367</v>
      </c>
      <c r="BJ66" s="120" t="s">
        <v>131</v>
      </c>
      <c r="BK66" s="119"/>
      <c r="BL66" s="119"/>
      <c r="BM66" s="119"/>
      <c r="BN66" s="119"/>
      <c r="BO66" s="119"/>
      <c r="BP66" s="119"/>
      <c r="BQ66" s="120">
        <v>3.6325370370370367</v>
      </c>
      <c r="BS66" s="79"/>
    </row>
    <row r="67" spans="19:85" x14ac:dyDescent="0.35">
      <c r="S67" s="27"/>
      <c r="T67" s="27"/>
      <c r="U67" s="27"/>
      <c r="W67" s="27" t="s">
        <v>71</v>
      </c>
      <c r="X67" s="19">
        <f>Y67</f>
        <v>5.0000000000000002E-5</v>
      </c>
      <c r="Y67" s="26">
        <f>0.5*10^-4</f>
        <v>5.0000000000000002E-5</v>
      </c>
      <c r="AB67" s="8">
        <v>25</v>
      </c>
      <c r="AE67" s="80"/>
      <c r="AF67" s="2">
        <f>Y67*AE66</f>
        <v>4.9659201557935739E-2</v>
      </c>
      <c r="AH67" s="11" t="s">
        <v>4</v>
      </c>
      <c r="AI67" s="5">
        <f>K8</f>
        <v>7.0000000000000007E-2</v>
      </c>
      <c r="AJ67" s="5"/>
      <c r="AK67" s="5">
        <f>AL67/$Y67</f>
        <v>1.4096078431372552</v>
      </c>
      <c r="AL67" s="62">
        <f>AI67/$AE66</f>
        <v>7.0480392156862758E-5</v>
      </c>
      <c r="AM67" s="2">
        <f>1/AL67</f>
        <v>14188.343302267351</v>
      </c>
      <c r="AN67" s="7">
        <f>I8</f>
        <v>0.03</v>
      </c>
      <c r="AO67" s="7">
        <f>$Y67/AQ67</f>
        <v>1.6553067185978581</v>
      </c>
      <c r="AP67" s="7"/>
      <c r="AQ67" s="75">
        <f>AN67/$AE66</f>
        <v>3.0205882352941176E-5</v>
      </c>
      <c r="AS67" s="14">
        <f>J8</f>
        <v>0.28000000000000003</v>
      </c>
      <c r="AT67" s="14"/>
      <c r="AU67" s="14">
        <f>AV67/$Y67</f>
        <v>5.6384313725490207</v>
      </c>
      <c r="AV67" s="35">
        <f>AS67/$AE66</f>
        <v>2.8192156862745103E-4</v>
      </c>
      <c r="BF67" s="13" t="s">
        <v>7</v>
      </c>
      <c r="BG67" s="13"/>
      <c r="BH67" s="33"/>
      <c r="BI67" s="14"/>
      <c r="BJ67" s="13"/>
      <c r="BK67" s="13"/>
      <c r="BL67" s="13"/>
      <c r="BM67" s="14"/>
      <c r="BN67" s="13"/>
      <c r="BO67" s="13"/>
      <c r="BP67" s="13"/>
      <c r="BQ67" s="13"/>
      <c r="BR67" s="13"/>
      <c r="BS67" s="79"/>
      <c r="BZ67" t="s">
        <v>190</v>
      </c>
    </row>
    <row r="68" spans="19:85" x14ac:dyDescent="0.35">
      <c r="S68" s="27"/>
      <c r="T68" s="27"/>
      <c r="U68" s="27"/>
      <c r="W68" s="27"/>
      <c r="AE68" s="80"/>
      <c r="AI68" s="4"/>
      <c r="AJ68" s="4"/>
      <c r="AK68" s="4"/>
      <c r="AL68" s="64"/>
      <c r="AM68" s="2"/>
      <c r="AN68" s="4"/>
      <c r="AO68" s="6"/>
      <c r="AP68" s="6"/>
      <c r="AQ68" s="68"/>
      <c r="AS68" s="4"/>
      <c r="AT68" s="13"/>
      <c r="AU68" s="13"/>
      <c r="AV68" s="33"/>
      <c r="BF68" s="13"/>
      <c r="BG68" s="13">
        <v>1.17</v>
      </c>
      <c r="BH68" s="33" t="s">
        <v>156</v>
      </c>
      <c r="BI68" s="14">
        <v>0.17308988764044944</v>
      </c>
      <c r="BJ68" s="14" t="s">
        <v>169</v>
      </c>
      <c r="BK68" s="13"/>
      <c r="BL68" s="13"/>
      <c r="BM68" s="13"/>
      <c r="BN68" s="13"/>
      <c r="BO68" s="13"/>
      <c r="BP68" s="13"/>
      <c r="BQ68" s="13"/>
      <c r="BR68" s="14">
        <v>0.17308988764044944</v>
      </c>
      <c r="BS68" s="79"/>
      <c r="BW68" s="123" t="s">
        <v>200</v>
      </c>
      <c r="BZ68">
        <v>39.098300000000002</v>
      </c>
    </row>
    <row r="69" spans="19:85" x14ac:dyDescent="0.35">
      <c r="S69" s="27"/>
      <c r="T69" s="27"/>
      <c r="U69" s="27"/>
      <c r="W69" s="27"/>
      <c r="X69" s="19"/>
      <c r="Y69" s="2" t="s">
        <v>51</v>
      </c>
      <c r="Z69" s="15" t="s">
        <v>31</v>
      </c>
      <c r="AA69" t="s">
        <v>32</v>
      </c>
      <c r="AB69" t="s">
        <v>33</v>
      </c>
      <c r="AE69" s="80">
        <f>F9</f>
        <v>35.053554040895811</v>
      </c>
      <c r="AF69" s="13" t="s">
        <v>80</v>
      </c>
      <c r="AI69" s="1" t="s">
        <v>24</v>
      </c>
      <c r="AJ69" s="4"/>
      <c r="AK69" s="4"/>
      <c r="AL69" s="64"/>
      <c r="AM69" s="2"/>
      <c r="AN69" s="1" t="s">
        <v>24</v>
      </c>
      <c r="AO69" s="6"/>
      <c r="AP69" s="6"/>
      <c r="AQ69" s="68"/>
      <c r="AS69" s="1" t="s">
        <v>24</v>
      </c>
      <c r="AT69" s="13"/>
      <c r="AU69" s="13"/>
      <c r="AV69" s="33"/>
      <c r="BF69" s="13"/>
      <c r="BG69" s="13">
        <v>1.27</v>
      </c>
      <c r="BH69" s="33" t="s">
        <v>121</v>
      </c>
      <c r="BI69" s="14">
        <v>0.17308988764044944</v>
      </c>
      <c r="BJ69" s="14" t="s">
        <v>157</v>
      </c>
      <c r="BK69" s="13"/>
      <c r="BL69" s="13"/>
      <c r="BM69" s="13"/>
      <c r="BN69" s="13"/>
      <c r="BO69" s="13"/>
      <c r="BP69" s="13"/>
      <c r="BQ69" s="13"/>
      <c r="BR69" s="14">
        <v>0.17308988764044944</v>
      </c>
      <c r="BS69" s="79"/>
      <c r="BW69" t="s">
        <v>173</v>
      </c>
      <c r="BX69" t="s">
        <v>173</v>
      </c>
      <c r="BY69" t="s">
        <v>173</v>
      </c>
      <c r="BZ69" t="s">
        <v>173</v>
      </c>
      <c r="CA69" t="s">
        <v>173</v>
      </c>
      <c r="CB69" t="s">
        <v>174</v>
      </c>
      <c r="CC69" t="s">
        <v>174</v>
      </c>
      <c r="CD69" t="s">
        <v>174</v>
      </c>
    </row>
    <row r="70" spans="19:85" x14ac:dyDescent="0.35">
      <c r="S70" s="27"/>
      <c r="T70" s="27"/>
      <c r="U70" s="27"/>
      <c r="W70" s="27"/>
      <c r="X70" s="19">
        <f>Y70</f>
        <v>0</v>
      </c>
      <c r="Y70" s="66"/>
      <c r="AB70" s="8"/>
      <c r="AE70" s="80"/>
      <c r="AF70" s="66">
        <f>Y70*AE69</f>
        <v>0</v>
      </c>
      <c r="AH70" s="41" t="s">
        <v>5</v>
      </c>
      <c r="AI70" s="5">
        <f>K9</f>
        <v>3.33</v>
      </c>
      <c r="AJ70" s="102">
        <f>$Y70/AL70</f>
        <v>0</v>
      </c>
      <c r="AK70" s="102" t="e">
        <f>AL70/$Y70</f>
        <v>#DIV/0!</v>
      </c>
      <c r="AL70" s="61">
        <f>(AI70*1000)/$AE69</f>
        <v>94.997500000000002</v>
      </c>
      <c r="AM70" s="2">
        <f>1/AL70</f>
        <v>1.0526592805073818E-2</v>
      </c>
      <c r="AN70" s="7">
        <f>I9</f>
        <v>0.37</v>
      </c>
      <c r="AO70" s="103">
        <f>$Y70/AQ70</f>
        <v>0</v>
      </c>
      <c r="AP70" s="103" t="e">
        <f>AQ70/$Y70</f>
        <v>#DIV/0!</v>
      </c>
      <c r="AQ70" s="74">
        <f>(AN70*1000)/$AE69</f>
        <v>10.555277777777778</v>
      </c>
      <c r="AS70" s="14">
        <f>J9</f>
        <v>16.86</v>
      </c>
      <c r="AT70" s="104">
        <f>$Y70/AV70</f>
        <v>0</v>
      </c>
      <c r="AU70" s="104" t="e">
        <f>AV70/$Y70</f>
        <v>#DIV/0!</v>
      </c>
      <c r="AV70" s="77">
        <f>(AS70*1000)/$AE69</f>
        <v>480.97833333333335</v>
      </c>
      <c r="BF70" s="13"/>
      <c r="BG70" s="14">
        <v>1.3972798154596744</v>
      </c>
      <c r="BH70" s="33" t="s">
        <v>111</v>
      </c>
      <c r="BI70" s="14">
        <v>0.17308988764044944</v>
      </c>
      <c r="BJ70" s="13" t="s">
        <v>151</v>
      </c>
      <c r="BK70" s="13"/>
      <c r="BL70" s="13"/>
      <c r="BM70" s="13"/>
      <c r="BN70" s="13"/>
      <c r="BO70" s="13"/>
      <c r="BP70" s="13"/>
      <c r="BQ70" s="13"/>
      <c r="BR70" s="14">
        <v>0.17308988764044944</v>
      </c>
      <c r="BS70" s="79"/>
      <c r="BW70" t="s">
        <v>165</v>
      </c>
      <c r="BX70" t="s">
        <v>165</v>
      </c>
      <c r="BY70" t="s">
        <v>189</v>
      </c>
      <c r="BZ70" t="s">
        <v>189</v>
      </c>
      <c r="CA70" t="s">
        <v>4</v>
      </c>
      <c r="CB70" t="s">
        <v>189</v>
      </c>
      <c r="CC70" t="s">
        <v>176</v>
      </c>
      <c r="CD70" t="s">
        <v>4</v>
      </c>
      <c r="CE70" t="s">
        <v>70</v>
      </c>
      <c r="CF70" t="s">
        <v>191</v>
      </c>
      <c r="CG70" t="s">
        <v>241</v>
      </c>
    </row>
    <row r="71" spans="19:85" x14ac:dyDescent="0.35">
      <c r="S71" s="27"/>
      <c r="T71" s="27"/>
      <c r="U71" s="27"/>
      <c r="W71" s="27"/>
      <c r="AE71" s="80"/>
      <c r="AI71" s="4"/>
      <c r="AJ71" s="4"/>
      <c r="AK71" s="4"/>
      <c r="AL71" s="64"/>
      <c r="AM71" s="2"/>
      <c r="AN71" s="4"/>
      <c r="AO71" s="6"/>
      <c r="AP71" s="6"/>
      <c r="AQ71" s="68"/>
      <c r="AS71" s="13"/>
      <c r="AT71" s="13"/>
      <c r="AU71" s="13"/>
      <c r="AV71" s="33"/>
      <c r="BF71" s="13"/>
      <c r="BG71" s="14">
        <v>1.3021057735889856</v>
      </c>
      <c r="BH71" s="33" t="s">
        <v>111</v>
      </c>
      <c r="BI71" s="14">
        <v>0.17308988764044944</v>
      </c>
      <c r="BJ71" s="13" t="s">
        <v>152</v>
      </c>
      <c r="BK71" s="13"/>
      <c r="BL71" s="13"/>
      <c r="BM71" s="13"/>
      <c r="BN71" s="13"/>
      <c r="BO71" s="13"/>
      <c r="BP71" s="13"/>
      <c r="BQ71" s="13"/>
      <c r="BR71" s="14">
        <v>0.17308988764044944</v>
      </c>
      <c r="BS71" s="79"/>
      <c r="BW71" t="s">
        <v>178</v>
      </c>
      <c r="BX71" t="s">
        <v>172</v>
      </c>
      <c r="BY71" t="s">
        <v>178</v>
      </c>
      <c r="BZ71" t="s">
        <v>172</v>
      </c>
      <c r="CA71" t="s">
        <v>22</v>
      </c>
      <c r="CB71" t="s">
        <v>175</v>
      </c>
      <c r="CC71" t="s">
        <v>175</v>
      </c>
      <c r="CD71" t="s">
        <v>23</v>
      </c>
    </row>
    <row r="72" spans="19:85" x14ac:dyDescent="0.35">
      <c r="S72" s="27"/>
      <c r="T72" s="27"/>
      <c r="U72" s="27"/>
      <c r="W72" s="27"/>
      <c r="X72" s="19"/>
      <c r="Y72" s="2" t="s">
        <v>52</v>
      </c>
      <c r="Z72" s="15" t="s">
        <v>31</v>
      </c>
      <c r="AA72" t="s">
        <v>32</v>
      </c>
      <c r="AB72" t="s">
        <v>33</v>
      </c>
      <c r="AE72" s="80">
        <f>F10</f>
        <v>0.52580331061343721</v>
      </c>
      <c r="AF72" s="1" t="s">
        <v>24</v>
      </c>
      <c r="AI72" s="1" t="s">
        <v>24</v>
      </c>
      <c r="AJ72" s="4"/>
      <c r="AK72" s="4"/>
      <c r="AL72" s="64"/>
      <c r="AM72" s="2"/>
      <c r="AN72" s="1" t="s">
        <v>24</v>
      </c>
      <c r="AO72" s="6"/>
      <c r="AP72" s="6"/>
      <c r="AQ72" s="68"/>
      <c r="AS72" s="1" t="s">
        <v>24</v>
      </c>
      <c r="AT72" s="13"/>
      <c r="AU72" s="13"/>
      <c r="AV72" s="33"/>
      <c r="BF72" s="13"/>
      <c r="BG72" s="14"/>
      <c r="BH72" s="33"/>
      <c r="BI72" s="14"/>
      <c r="BJ72" s="13"/>
      <c r="BK72" s="13"/>
      <c r="BL72" s="13"/>
      <c r="BM72" s="13"/>
      <c r="BN72" s="13"/>
      <c r="BO72" s="13"/>
      <c r="BP72" s="13"/>
      <c r="BQ72" s="13"/>
      <c r="BR72" s="14"/>
      <c r="BS72" s="79"/>
      <c r="BW72">
        <v>367</v>
      </c>
      <c r="BX72">
        <f>BW72/40.078/1000</f>
        <v>9.1571435700384257E-3</v>
      </c>
      <c r="BY72">
        <v>400</v>
      </c>
      <c r="BZ72">
        <f>BY72/$BZ$68/1000</f>
        <v>1.0230623837865074E-2</v>
      </c>
      <c r="CA72">
        <f>BZ72/BX72</f>
        <v>1.117228725269636</v>
      </c>
      <c r="CB72">
        <v>181</v>
      </c>
      <c r="CC72">
        <v>400436</v>
      </c>
      <c r="CD72" s="124">
        <f>CB72*40.078/$BZ$68/CC72*1000</f>
        <v>0.46333341990658999</v>
      </c>
      <c r="CE72" s="48">
        <f>CD72/(CA72*1000)</f>
        <v>4.1471670878742169E-4</v>
      </c>
      <c r="CF72">
        <v>13</v>
      </c>
      <c r="CG72">
        <f>CB72/BY72</f>
        <v>0.45250000000000001</v>
      </c>
    </row>
    <row r="73" spans="19:85" x14ac:dyDescent="0.35">
      <c r="S73" s="27"/>
      <c r="T73" s="27"/>
      <c r="U73" s="27"/>
      <c r="W73" s="27" t="s">
        <v>67</v>
      </c>
      <c r="X73" s="19">
        <f>Y73</f>
        <v>3.2</v>
      </c>
      <c r="Y73" s="25">
        <v>3.2</v>
      </c>
      <c r="AB73" s="8">
        <v>50</v>
      </c>
      <c r="AE73" s="80"/>
      <c r="AF73" s="2">
        <f>Y73*AE72</f>
        <v>1.6825705939629991</v>
      </c>
      <c r="AH73" s="41" t="s">
        <v>6</v>
      </c>
      <c r="AI73" s="5">
        <f>K10</f>
        <v>1.91</v>
      </c>
      <c r="AJ73" s="5"/>
      <c r="AK73" s="5">
        <f>AL73/$Y73</f>
        <v>1.1351678240740739</v>
      </c>
      <c r="AL73" s="61">
        <f>AI73/$AE72</f>
        <v>3.6325370370370367</v>
      </c>
      <c r="AM73" s="2">
        <f>1/AL73</f>
        <v>0.2752896914206478</v>
      </c>
      <c r="AN73" s="7">
        <f>I10</f>
        <v>0.67</v>
      </c>
      <c r="AO73" s="7">
        <f>$Y73/AQ73</f>
        <v>2.5112993939746255</v>
      </c>
      <c r="AP73" s="7"/>
      <c r="AQ73" s="71">
        <f>AN73/$AE72</f>
        <v>1.2742407407407408</v>
      </c>
      <c r="AS73" s="14">
        <f>J10</f>
        <v>22.03</v>
      </c>
      <c r="AT73" s="14"/>
      <c r="AU73" s="78">
        <f>AV73/$Y73</f>
        <v>13.093061342592593</v>
      </c>
      <c r="AV73" s="77">
        <f>AS73/$AE72</f>
        <v>41.897796296296299</v>
      </c>
      <c r="BF73" s="13"/>
      <c r="BG73" s="14">
        <v>0.41699999999999998</v>
      </c>
      <c r="BH73" s="33" t="s">
        <v>111</v>
      </c>
      <c r="BI73" s="14">
        <v>0.17308988764044944</v>
      </c>
      <c r="BJ73" s="13" t="s">
        <v>115</v>
      </c>
      <c r="BK73" s="13"/>
      <c r="BL73" s="13"/>
      <c r="BM73" s="13"/>
      <c r="BN73" s="13"/>
      <c r="BO73" s="13"/>
      <c r="BP73" s="13"/>
      <c r="BQ73" s="13"/>
      <c r="BR73" s="14">
        <v>0.17308988764044944</v>
      </c>
      <c r="BS73" s="79"/>
      <c r="BW73">
        <v>367</v>
      </c>
      <c r="BX73">
        <f t="shared" ref="BX73:BX85" si="55">BW73/40.078/1000</f>
        <v>9.1571435700384257E-3</v>
      </c>
      <c r="BY73">
        <v>400</v>
      </c>
      <c r="BZ73">
        <f t="shared" ref="BZ73:BZ85" si="56">BY73/$BZ$68/1000</f>
        <v>1.0230623837865074E-2</v>
      </c>
      <c r="CA73">
        <f t="shared" ref="CA73:CA85" si="57">BZ73/BX73</f>
        <v>1.117228725269636</v>
      </c>
      <c r="CB73">
        <v>206</v>
      </c>
      <c r="CC73">
        <f>CC72</f>
        <v>400436</v>
      </c>
      <c r="CD73" s="124">
        <f t="shared" ref="CD73:CD85" si="58">CB73*40.078/$BZ$68/CC73*1000</f>
        <v>0.52732974862296988</v>
      </c>
      <c r="CE73" s="48">
        <f t="shared" ref="CE73:CE84" si="59">CD73/(CA73*1000)</f>
        <v>4.7199802215585013E-4</v>
      </c>
      <c r="CF73">
        <v>13</v>
      </c>
      <c r="CG73">
        <f t="shared" ref="CG73:CG85" si="60">CB73/BY73</f>
        <v>0.51500000000000001</v>
      </c>
    </row>
    <row r="74" spans="19:85" x14ac:dyDescent="0.35">
      <c r="S74" s="27"/>
      <c r="T74" s="27"/>
      <c r="U74" s="27"/>
      <c r="W74" s="27"/>
      <c r="AE74" s="80"/>
      <c r="AI74" s="4"/>
      <c r="AJ74" s="4"/>
      <c r="AK74" s="4"/>
      <c r="AL74" s="64"/>
      <c r="AM74" s="2"/>
      <c r="AN74" s="4"/>
      <c r="AO74" s="6"/>
      <c r="AP74" s="6"/>
      <c r="AQ74" s="68"/>
      <c r="AS74" s="13"/>
      <c r="AT74" s="13"/>
      <c r="AU74" s="13"/>
      <c r="AV74" s="33"/>
      <c r="BF74" s="13"/>
      <c r="BG74" s="14">
        <v>1.24</v>
      </c>
      <c r="BH74" s="33" t="s">
        <v>111</v>
      </c>
      <c r="BI74" s="14">
        <v>0.17308988764044944</v>
      </c>
      <c r="BJ74" s="13" t="s">
        <v>117</v>
      </c>
      <c r="BK74" s="13"/>
      <c r="BL74" s="13"/>
      <c r="BM74" s="13"/>
      <c r="BN74" s="13"/>
      <c r="BO74" s="13"/>
      <c r="BP74" s="13"/>
      <c r="BQ74" s="13"/>
      <c r="BR74" s="14">
        <v>0.17308988764044944</v>
      </c>
      <c r="BS74" s="79"/>
      <c r="BW74">
        <v>367</v>
      </c>
      <c r="BX74">
        <f t="shared" si="55"/>
        <v>9.1571435700384257E-3</v>
      </c>
      <c r="BY74">
        <v>400</v>
      </c>
      <c r="BZ74">
        <f t="shared" si="56"/>
        <v>1.0230623837865074E-2</v>
      </c>
      <c r="CA74">
        <f t="shared" si="57"/>
        <v>1.117228725269636</v>
      </c>
      <c r="CB74">
        <v>194</v>
      </c>
      <c r="CC74">
        <f t="shared" ref="CC74:CC85" si="61">CC73</f>
        <v>400436</v>
      </c>
      <c r="CD74" s="124">
        <f t="shared" si="58"/>
        <v>0.49661151083910754</v>
      </c>
      <c r="CE74" s="48">
        <f t="shared" si="59"/>
        <v>4.445029917390045E-4</v>
      </c>
      <c r="CF74">
        <v>13</v>
      </c>
      <c r="CG74">
        <f t="shared" si="60"/>
        <v>0.48499999999999999</v>
      </c>
    </row>
    <row r="75" spans="19:85" x14ac:dyDescent="0.35">
      <c r="S75" s="27"/>
      <c r="T75" s="27"/>
      <c r="U75" s="27"/>
      <c r="W75" s="27"/>
      <c r="X75" s="19"/>
      <c r="Y75" s="2" t="s">
        <v>53</v>
      </c>
      <c r="Z75" s="15" t="s">
        <v>31</v>
      </c>
      <c r="AA75" t="s">
        <v>32</v>
      </c>
      <c r="AB75" t="s">
        <v>33</v>
      </c>
      <c r="AE75" s="80">
        <f>F13</f>
        <v>1.2658227848101267</v>
      </c>
      <c r="AF75" s="13" t="s">
        <v>80</v>
      </c>
      <c r="AI75" s="1" t="s">
        <v>24</v>
      </c>
      <c r="AJ75" s="4"/>
      <c r="AK75" s="4"/>
      <c r="AL75" s="64"/>
      <c r="AM75" s="2"/>
      <c r="AN75" s="1" t="s">
        <v>24</v>
      </c>
      <c r="AO75" s="6"/>
      <c r="AP75" s="6"/>
      <c r="AQ75" s="68"/>
      <c r="AS75" s="1" t="s">
        <v>24</v>
      </c>
      <c r="AT75" s="13"/>
      <c r="AU75" s="13"/>
      <c r="AV75" s="33"/>
      <c r="BG75" s="85"/>
      <c r="BH75" s="86"/>
      <c r="BI75" s="85"/>
      <c r="BM75" s="85"/>
      <c r="BS75" s="79"/>
      <c r="BW75">
        <v>367</v>
      </c>
      <c r="BX75">
        <f t="shared" si="55"/>
        <v>9.1571435700384257E-3</v>
      </c>
      <c r="BY75">
        <v>400</v>
      </c>
      <c r="BZ75">
        <f t="shared" si="56"/>
        <v>1.0230623837865074E-2</v>
      </c>
      <c r="CA75">
        <f t="shared" si="57"/>
        <v>1.117228725269636</v>
      </c>
      <c r="CB75">
        <v>186</v>
      </c>
      <c r="CC75">
        <f t="shared" si="61"/>
        <v>400436</v>
      </c>
      <c r="CD75" s="124">
        <f t="shared" si="58"/>
        <v>0.47613268564986599</v>
      </c>
      <c r="CE75" s="48">
        <f t="shared" si="59"/>
        <v>4.2617297146110741E-4</v>
      </c>
      <c r="CF75">
        <v>13</v>
      </c>
      <c r="CG75">
        <f t="shared" si="60"/>
        <v>0.46500000000000002</v>
      </c>
    </row>
    <row r="76" spans="19:85" x14ac:dyDescent="0.35">
      <c r="S76" s="27"/>
      <c r="T76" s="27"/>
      <c r="U76" s="27"/>
      <c r="W76" s="27"/>
      <c r="X76" s="19">
        <f>Y76</f>
        <v>0</v>
      </c>
      <c r="Y76" s="66"/>
      <c r="AB76" s="8"/>
      <c r="AE76" s="80"/>
      <c r="AF76" s="66">
        <f>Y76*AE75</f>
        <v>0</v>
      </c>
      <c r="AH76" s="41" t="s">
        <v>9</v>
      </c>
      <c r="AI76" s="5">
        <f>K13</f>
        <v>0.09</v>
      </c>
      <c r="AJ76" s="102">
        <f>$Y76/AL76</f>
        <v>0</v>
      </c>
      <c r="AK76" s="102" t="e">
        <f>AL76/$Y76</f>
        <v>#DIV/0!</v>
      </c>
      <c r="AL76" s="61">
        <f>(AI76*1000)/$AE75</f>
        <v>71.099999999999994</v>
      </c>
      <c r="AM76" s="2">
        <f>1/AL76</f>
        <v>1.4064697609001408E-2</v>
      </c>
      <c r="AN76" s="7">
        <f>I13</f>
        <v>0.03</v>
      </c>
      <c r="AO76" s="103">
        <f>$Y76/AQ76</f>
        <v>0</v>
      </c>
      <c r="AP76" s="103" t="e">
        <f>AQ76/$Y76</f>
        <v>#DIV/0!</v>
      </c>
      <c r="AQ76" s="74">
        <f>(AN76*1000)/$AE75</f>
        <v>23.7</v>
      </c>
      <c r="AS76" s="14">
        <f>J13</f>
        <v>2.64</v>
      </c>
      <c r="AT76" s="104">
        <f>$Y76/AV76</f>
        <v>0</v>
      </c>
      <c r="AU76" s="104" t="e">
        <f>AV76/$Y76</f>
        <v>#DIV/0!</v>
      </c>
      <c r="AV76" s="77">
        <f>(AS76*1000)/$AE75</f>
        <v>2085.6</v>
      </c>
      <c r="BF76" s="11" t="s">
        <v>8</v>
      </c>
      <c r="BG76" s="11">
        <v>0.44</v>
      </c>
      <c r="BH76" s="118" t="s">
        <v>114</v>
      </c>
      <c r="BI76" s="12">
        <v>0.53705504587155961</v>
      </c>
      <c r="BJ76" s="11" t="s">
        <v>203</v>
      </c>
      <c r="BK76" s="11"/>
      <c r="BL76" s="11"/>
      <c r="BM76" s="12"/>
      <c r="BN76" s="11"/>
      <c r="BO76" s="11"/>
      <c r="BP76" s="11"/>
      <c r="BQ76" s="11"/>
      <c r="BR76" s="11"/>
      <c r="BS76" s="12">
        <v>0.53705504587155961</v>
      </c>
      <c r="BW76">
        <v>362</v>
      </c>
      <c r="BX76">
        <f t="shared" si="55"/>
        <v>9.0323868456509797E-3</v>
      </c>
      <c r="BY76">
        <v>200</v>
      </c>
      <c r="BZ76">
        <f t="shared" si="56"/>
        <v>5.1153119189325368E-3</v>
      </c>
      <c r="CA76">
        <f t="shared" si="57"/>
        <v>0.5663300306270117</v>
      </c>
      <c r="CB76">
        <v>115</v>
      </c>
      <c r="CC76">
        <f t="shared" si="61"/>
        <v>400436</v>
      </c>
      <c r="CD76" s="124">
        <f t="shared" si="58"/>
        <v>0.29438311209534723</v>
      </c>
      <c r="CE76" s="48">
        <f t="shared" si="59"/>
        <v>5.198084088343704E-4</v>
      </c>
      <c r="CF76">
        <v>16</v>
      </c>
      <c r="CG76">
        <f t="shared" si="60"/>
        <v>0.57499999999999996</v>
      </c>
    </row>
    <row r="77" spans="19:85" x14ac:dyDescent="0.35">
      <c r="S77" s="27"/>
      <c r="T77" s="27"/>
      <c r="U77" s="27"/>
      <c r="W77" s="27"/>
      <c r="AE77" s="80"/>
      <c r="AI77" s="4"/>
      <c r="AJ77" s="4"/>
      <c r="AK77" s="4"/>
      <c r="AL77" s="64"/>
      <c r="AN77" s="4"/>
      <c r="AO77" s="6"/>
      <c r="AP77" s="6"/>
      <c r="AQ77" s="6"/>
      <c r="AS77" s="13"/>
      <c r="AT77" s="13"/>
      <c r="AU77" s="13"/>
      <c r="AV77" s="13"/>
      <c r="BF77" s="11"/>
      <c r="BG77" s="11">
        <v>2.0699999999999998</v>
      </c>
      <c r="BH77" s="118" t="s">
        <v>121</v>
      </c>
      <c r="BI77" s="12">
        <v>0.53705504587155961</v>
      </c>
      <c r="BJ77" s="12" t="s">
        <v>157</v>
      </c>
      <c r="BK77" s="11"/>
      <c r="BL77" s="11"/>
      <c r="BM77" s="11"/>
      <c r="BN77" s="11"/>
      <c r="BO77" s="11"/>
      <c r="BP77" s="11"/>
      <c r="BQ77" s="11"/>
      <c r="BR77" s="11"/>
      <c r="BS77" s="12">
        <v>0.53705504587155961</v>
      </c>
      <c r="BW77">
        <v>362</v>
      </c>
      <c r="BX77">
        <f t="shared" si="55"/>
        <v>9.0323868456509797E-3</v>
      </c>
      <c r="BY77">
        <v>400</v>
      </c>
      <c r="BZ77">
        <f t="shared" si="56"/>
        <v>1.0230623837865074E-2</v>
      </c>
      <c r="CA77">
        <f t="shared" si="57"/>
        <v>1.1326600612540234</v>
      </c>
      <c r="CB77">
        <v>173</v>
      </c>
      <c r="CC77">
        <f t="shared" si="61"/>
        <v>400436</v>
      </c>
      <c r="CD77" s="124">
        <f t="shared" si="58"/>
        <v>0.44285459471734845</v>
      </c>
      <c r="CE77" s="48">
        <f t="shared" si="59"/>
        <v>3.9098632490585251E-4</v>
      </c>
      <c r="CF77">
        <v>14</v>
      </c>
      <c r="CG77">
        <f t="shared" si="60"/>
        <v>0.4325</v>
      </c>
    </row>
    <row r="78" spans="19:85" x14ac:dyDescent="0.35">
      <c r="S78" s="27"/>
      <c r="T78" s="27"/>
      <c r="U78" s="27"/>
      <c r="W78" s="27"/>
      <c r="X78" s="19"/>
      <c r="Y78" s="2" t="s">
        <v>54</v>
      </c>
      <c r="Z78" s="15" t="s">
        <v>31</v>
      </c>
      <c r="AA78" t="s">
        <v>32</v>
      </c>
      <c r="AB78" t="s">
        <v>33</v>
      </c>
      <c r="AE78" s="80">
        <f>F14</f>
        <v>2.5219084712755597</v>
      </c>
      <c r="AF78" t="s">
        <v>23</v>
      </c>
      <c r="AI78" s="1"/>
      <c r="AJ78" s="4"/>
      <c r="AK78" s="4"/>
      <c r="AL78" s="64"/>
      <c r="AN78" s="1"/>
      <c r="AO78" s="6"/>
      <c r="AP78" s="6"/>
      <c r="AQ78" s="6"/>
      <c r="AS78" s="1"/>
      <c r="AT78" s="13"/>
      <c r="AU78" s="13"/>
      <c r="AV78" s="13"/>
      <c r="BF78" s="11"/>
      <c r="BG78" s="12">
        <v>6.3990064036474639</v>
      </c>
      <c r="BH78" s="118" t="s">
        <v>111</v>
      </c>
      <c r="BI78" s="12">
        <v>0.53705504587155961</v>
      </c>
      <c r="BJ78" s="11" t="s">
        <v>151</v>
      </c>
      <c r="BK78" s="11"/>
      <c r="BL78" s="11"/>
      <c r="BM78" s="11"/>
      <c r="BN78" s="11"/>
      <c r="BO78" s="11"/>
      <c r="BP78" s="11"/>
      <c r="BQ78" s="11"/>
      <c r="BR78" s="11"/>
      <c r="BS78" s="12">
        <v>0.53705504587155961</v>
      </c>
      <c r="BW78">
        <v>362</v>
      </c>
      <c r="BX78">
        <f t="shared" si="55"/>
        <v>9.0323868456509797E-3</v>
      </c>
      <c r="BY78">
        <v>600</v>
      </c>
      <c r="BZ78">
        <f t="shared" si="56"/>
        <v>1.534593575679761E-2</v>
      </c>
      <c r="CA78">
        <f t="shared" si="57"/>
        <v>1.698990091881035</v>
      </c>
      <c r="CB78">
        <v>222</v>
      </c>
      <c r="CC78">
        <f t="shared" si="61"/>
        <v>400436</v>
      </c>
      <c r="CD78" s="124">
        <f t="shared" si="58"/>
        <v>0.56828739900145298</v>
      </c>
      <c r="CE78" s="48">
        <f t="shared" si="59"/>
        <v>3.3448541090211673E-4</v>
      </c>
      <c r="CF78">
        <v>18</v>
      </c>
      <c r="CG78">
        <f t="shared" si="60"/>
        <v>0.37</v>
      </c>
    </row>
    <row r="79" spans="19:85" x14ac:dyDescent="0.35">
      <c r="W79" s="27" t="s">
        <v>62</v>
      </c>
      <c r="X79" s="22">
        <f>Y79</f>
        <v>3.2100000000000004E-2</v>
      </c>
      <c r="Y79" s="26">
        <f>3.21*10^-2</f>
        <v>3.2100000000000004E-2</v>
      </c>
      <c r="AB79" s="8">
        <v>25</v>
      </c>
      <c r="AE79" s="80"/>
      <c r="AF79" s="2">
        <f>Y79*AE78</f>
        <v>8.0953261927945483E-2</v>
      </c>
      <c r="AI79" s="5"/>
      <c r="AJ79" s="5"/>
      <c r="AK79" s="5"/>
      <c r="AL79" s="64"/>
      <c r="AN79" s="5"/>
      <c r="AO79" s="6"/>
      <c r="AP79" s="6"/>
      <c r="AQ79" s="6"/>
      <c r="AS79" s="5"/>
      <c r="AT79" s="13"/>
      <c r="AU79" s="13"/>
      <c r="AV79" s="13"/>
      <c r="BF79" s="11"/>
      <c r="BG79" s="12">
        <v>4.5354940281377933</v>
      </c>
      <c r="BH79" s="118" t="s">
        <v>111</v>
      </c>
      <c r="BI79" s="12">
        <v>0.53705504587155961</v>
      </c>
      <c r="BJ79" s="11" t="s">
        <v>152</v>
      </c>
      <c r="BK79" s="11"/>
      <c r="BL79" s="11"/>
      <c r="BM79" s="11"/>
      <c r="BN79" s="11"/>
      <c r="BO79" s="11"/>
      <c r="BP79" s="11"/>
      <c r="BQ79" s="11"/>
      <c r="BR79" s="11"/>
      <c r="BS79" s="12">
        <v>0.53705504587155961</v>
      </c>
      <c r="BW79">
        <v>362</v>
      </c>
      <c r="BX79">
        <f>BW79/40.078/1000</f>
        <v>9.0323868456509797E-3</v>
      </c>
      <c r="BY79">
        <v>800</v>
      </c>
      <c r="BZ79">
        <f t="shared" si="56"/>
        <v>2.0461247675730147E-2</v>
      </c>
      <c r="CA79">
        <f t="shared" si="57"/>
        <v>2.2653201225080468</v>
      </c>
      <c r="CB79">
        <v>258</v>
      </c>
      <c r="CC79">
        <f t="shared" si="61"/>
        <v>400436</v>
      </c>
      <c r="CD79" s="124">
        <f t="shared" si="58"/>
        <v>0.66044211235303996</v>
      </c>
      <c r="CE79" s="48">
        <f t="shared" si="59"/>
        <v>2.9154471625927734E-4</v>
      </c>
      <c r="CF79">
        <v>19</v>
      </c>
      <c r="CG79">
        <f t="shared" si="60"/>
        <v>0.32250000000000001</v>
      </c>
    </row>
    <row r="80" spans="19:85" x14ac:dyDescent="0.35">
      <c r="W80" s="27" t="s">
        <v>122</v>
      </c>
      <c r="X80" s="22">
        <f>Y80</f>
        <v>3.15E-3</v>
      </c>
      <c r="Y80" s="26">
        <f>3.15*10^-3</f>
        <v>3.15E-3</v>
      </c>
      <c r="AB80" s="8">
        <v>25</v>
      </c>
      <c r="AE80" s="80"/>
      <c r="AF80" s="2">
        <f>Y80*AE78</f>
        <v>7.9440116845180125E-3</v>
      </c>
      <c r="BF80" s="11"/>
      <c r="BG80" s="12"/>
      <c r="BH80" s="118"/>
      <c r="BI80" s="12"/>
      <c r="BJ80" s="11"/>
      <c r="BK80" s="11"/>
      <c r="BL80" s="11"/>
      <c r="BM80" s="11"/>
      <c r="BN80" s="11"/>
      <c r="BO80" s="11"/>
      <c r="BP80" s="11"/>
      <c r="BQ80" s="11"/>
      <c r="BR80" s="11"/>
      <c r="BS80" s="12"/>
      <c r="BW80">
        <v>362</v>
      </c>
      <c r="BX80">
        <f t="shared" si="55"/>
        <v>9.0323868456509797E-3</v>
      </c>
      <c r="BY80">
        <v>1000</v>
      </c>
      <c r="BZ80">
        <f t="shared" si="56"/>
        <v>2.5576559594662682E-2</v>
      </c>
      <c r="CA80">
        <f t="shared" si="57"/>
        <v>2.8316501531350582</v>
      </c>
      <c r="CB80">
        <v>344</v>
      </c>
      <c r="CC80">
        <f t="shared" si="61"/>
        <v>400436</v>
      </c>
      <c r="CD80" s="124">
        <f t="shared" si="58"/>
        <v>0.88058948313738639</v>
      </c>
      <c r="CE80" s="48">
        <f t="shared" si="59"/>
        <v>3.1098103067656247E-4</v>
      </c>
      <c r="CF80">
        <v>18</v>
      </c>
      <c r="CG80">
        <f t="shared" si="60"/>
        <v>0.34399999999999997</v>
      </c>
    </row>
    <row r="81" spans="23:85" x14ac:dyDescent="0.35">
      <c r="W81" s="27"/>
      <c r="AE81" s="80"/>
      <c r="AI81" s="4"/>
      <c r="AJ81" s="4"/>
      <c r="AK81" s="4"/>
      <c r="AL81" s="64"/>
      <c r="AN81" s="4" t="s">
        <v>0</v>
      </c>
      <c r="AO81" s="79" t="s">
        <v>0</v>
      </c>
      <c r="AP81" s="79" t="s">
        <v>0</v>
      </c>
      <c r="AQ81" s="6"/>
      <c r="AS81" s="4"/>
      <c r="AT81" s="13"/>
      <c r="AU81" s="13"/>
      <c r="BF81" s="11"/>
      <c r="BG81" s="12">
        <v>1.81</v>
      </c>
      <c r="BH81" s="118" t="s">
        <v>111</v>
      </c>
      <c r="BI81" s="12">
        <v>0.53705504587155961</v>
      </c>
      <c r="BJ81" s="11" t="s">
        <v>115</v>
      </c>
      <c r="BK81" s="11"/>
      <c r="BL81" s="11"/>
      <c r="BM81" s="11"/>
      <c r="BN81" s="11"/>
      <c r="BO81" s="11"/>
      <c r="BP81" s="11"/>
      <c r="BQ81" s="11"/>
      <c r="BR81" s="11"/>
      <c r="BS81" s="12">
        <v>0.53705504587155961</v>
      </c>
      <c r="BW81">
        <v>362</v>
      </c>
      <c r="BX81">
        <f t="shared" si="55"/>
        <v>9.0323868456509797E-3</v>
      </c>
      <c r="BY81">
        <v>400</v>
      </c>
      <c r="BZ81">
        <f t="shared" si="56"/>
        <v>1.0230623837865074E-2</v>
      </c>
      <c r="CA81">
        <f t="shared" si="57"/>
        <v>1.1326600612540234</v>
      </c>
      <c r="CB81">
        <v>32</v>
      </c>
      <c r="CC81">
        <f t="shared" si="61"/>
        <v>400436</v>
      </c>
      <c r="CD81" s="124">
        <f t="shared" si="58"/>
        <v>8.1915300756966181E-2</v>
      </c>
      <c r="CE81" s="48">
        <f t="shared" si="59"/>
        <v>7.2321169924781969E-5</v>
      </c>
      <c r="CF81">
        <v>19</v>
      </c>
      <c r="CG81">
        <f t="shared" si="60"/>
        <v>0.08</v>
      </c>
    </row>
    <row r="82" spans="23:85" x14ac:dyDescent="0.35">
      <c r="W82" s="27"/>
      <c r="X82" s="19"/>
      <c r="Y82" s="2" t="s">
        <v>59</v>
      </c>
      <c r="Z82" s="15" t="s">
        <v>31</v>
      </c>
      <c r="AA82" t="s">
        <v>32</v>
      </c>
      <c r="AB82" t="s">
        <v>33</v>
      </c>
      <c r="AE82" s="80">
        <f>F15</f>
        <v>1.3047711781888998</v>
      </c>
      <c r="AF82" s="1" t="s">
        <v>24</v>
      </c>
      <c r="AI82" s="4"/>
      <c r="AJ82" s="4"/>
      <c r="AK82" s="4"/>
      <c r="AL82" s="64"/>
      <c r="AN82" s="1" t="s">
        <v>1</v>
      </c>
      <c r="AO82" s="79" t="s">
        <v>1</v>
      </c>
      <c r="AP82" s="79" t="s">
        <v>1</v>
      </c>
      <c r="AQ82" s="6"/>
      <c r="AS82" s="4"/>
      <c r="AT82" s="13"/>
      <c r="AU82" s="13"/>
      <c r="BF82" s="11"/>
      <c r="BG82" s="12">
        <v>2.99</v>
      </c>
      <c r="BH82" s="118" t="s">
        <v>111</v>
      </c>
      <c r="BI82" s="12">
        <v>0.53705504587155961</v>
      </c>
      <c r="BJ82" s="11" t="s">
        <v>117</v>
      </c>
      <c r="BK82" s="11"/>
      <c r="BL82" s="11"/>
      <c r="BM82" s="11"/>
      <c r="BN82" s="11"/>
      <c r="BO82" s="11"/>
      <c r="BP82" s="11"/>
      <c r="BQ82" s="11"/>
      <c r="BR82" s="11"/>
      <c r="BS82" s="12">
        <v>0.53705504587155961</v>
      </c>
      <c r="BW82">
        <v>362</v>
      </c>
      <c r="BX82">
        <f t="shared" si="55"/>
        <v>9.0323868456509797E-3</v>
      </c>
      <c r="BY82">
        <v>400</v>
      </c>
      <c r="BZ82">
        <f t="shared" si="56"/>
        <v>1.0230623837865074E-2</v>
      </c>
      <c r="CA82">
        <f t="shared" si="57"/>
        <v>1.1326600612540234</v>
      </c>
      <c r="CB82">
        <v>27</v>
      </c>
      <c r="CC82">
        <f t="shared" si="61"/>
        <v>400436</v>
      </c>
      <c r="CD82" s="124">
        <f t="shared" si="58"/>
        <v>6.9116035013690208E-2</v>
      </c>
      <c r="CE82" s="48">
        <f t="shared" si="59"/>
        <v>6.1020987124034777E-5</v>
      </c>
      <c r="CF82">
        <v>20</v>
      </c>
      <c r="CG82">
        <f t="shared" si="60"/>
        <v>6.7500000000000004E-2</v>
      </c>
    </row>
    <row r="83" spans="23:85" x14ac:dyDescent="0.35">
      <c r="W83" s="27" t="s">
        <v>63</v>
      </c>
      <c r="X83" s="22">
        <f>Y83</f>
        <v>0.248</v>
      </c>
      <c r="Y83" s="26">
        <v>0.248</v>
      </c>
      <c r="AB83" s="8">
        <v>25.5</v>
      </c>
      <c r="AC83" t="s">
        <v>68</v>
      </c>
      <c r="AE83" s="80"/>
      <c r="AF83" s="2">
        <f>Y83*AE82</f>
        <v>0.32358325219084716</v>
      </c>
      <c r="AI83" s="5"/>
      <c r="AJ83" s="5"/>
      <c r="AK83" s="5"/>
      <c r="AL83" s="64"/>
      <c r="AN83" s="13" t="s">
        <v>2</v>
      </c>
      <c r="AO83" s="79" t="s">
        <v>2</v>
      </c>
      <c r="AP83" s="79" t="s">
        <v>2</v>
      </c>
      <c r="AQ83" s="6"/>
      <c r="AS83" s="5"/>
      <c r="AT83" s="13"/>
      <c r="AU83" s="13"/>
      <c r="BW83" s="4">
        <v>362</v>
      </c>
      <c r="BX83">
        <f t="shared" si="55"/>
        <v>9.0323868456509797E-3</v>
      </c>
      <c r="BY83" s="4">
        <v>400</v>
      </c>
      <c r="BZ83">
        <f t="shared" si="56"/>
        <v>1.0230623837865074E-2</v>
      </c>
      <c r="CA83" s="4">
        <f t="shared" si="57"/>
        <v>1.1326600612540234</v>
      </c>
      <c r="CB83" s="4">
        <v>24</v>
      </c>
      <c r="CC83">
        <f t="shared" si="61"/>
        <v>400436</v>
      </c>
      <c r="CD83" s="125">
        <f t="shared" si="58"/>
        <v>6.1436475567724642E-2</v>
      </c>
      <c r="CE83" s="56">
        <f t="shared" si="59"/>
        <v>5.424087744358648E-5</v>
      </c>
      <c r="CF83" s="4">
        <v>21</v>
      </c>
      <c r="CG83">
        <f t="shared" si="60"/>
        <v>0.06</v>
      </c>
    </row>
    <row r="84" spans="23:85" x14ac:dyDescent="0.35">
      <c r="AE84" s="2"/>
      <c r="AI84"/>
      <c r="AJ84" s="4"/>
      <c r="AK84" s="4"/>
      <c r="AL84" s="57"/>
      <c r="AN84" s="79" t="s">
        <v>3</v>
      </c>
      <c r="AO84" s="1" t="s">
        <v>3</v>
      </c>
      <c r="AP84" s="1" t="s">
        <v>3</v>
      </c>
      <c r="AQ84" s="6"/>
      <c r="BW84" s="4">
        <v>362</v>
      </c>
      <c r="BX84">
        <f t="shared" si="55"/>
        <v>9.0323868456509797E-3</v>
      </c>
      <c r="BY84" s="4">
        <v>400</v>
      </c>
      <c r="BZ84">
        <f t="shared" si="56"/>
        <v>1.0230623837865074E-2</v>
      </c>
      <c r="CA84" s="4">
        <f t="shared" si="57"/>
        <v>1.1326600612540234</v>
      </c>
      <c r="CB84" s="4">
        <v>24</v>
      </c>
      <c r="CC84">
        <f t="shared" si="61"/>
        <v>400436</v>
      </c>
      <c r="CD84" s="125">
        <f t="shared" si="58"/>
        <v>6.1436475567724642E-2</v>
      </c>
      <c r="CE84" s="56">
        <f t="shared" si="59"/>
        <v>5.424087744358648E-5</v>
      </c>
      <c r="CF84" s="4">
        <v>23</v>
      </c>
      <c r="CG84">
        <f t="shared" si="60"/>
        <v>0.06</v>
      </c>
    </row>
    <row r="85" spans="23:85" x14ac:dyDescent="0.35">
      <c r="AI85" s="4"/>
      <c r="AJ85" s="57"/>
      <c r="AK85" s="64"/>
      <c r="AN85" s="4" t="s">
        <v>4</v>
      </c>
      <c r="AO85" s="79" t="s">
        <v>4</v>
      </c>
      <c r="AP85" s="79" t="s">
        <v>4</v>
      </c>
      <c r="BW85" s="4">
        <v>362</v>
      </c>
      <c r="BX85">
        <f t="shared" si="55"/>
        <v>9.0323868456509797E-3</v>
      </c>
      <c r="BY85" s="4">
        <v>400</v>
      </c>
      <c r="BZ85">
        <f t="shared" si="56"/>
        <v>1.0230623837865074E-2</v>
      </c>
      <c r="CA85" s="4">
        <f t="shared" si="57"/>
        <v>1.1326600612540234</v>
      </c>
      <c r="CB85" s="4">
        <v>20</v>
      </c>
      <c r="CC85">
        <f t="shared" si="61"/>
        <v>400436</v>
      </c>
      <c r="CD85" s="125">
        <f t="shared" si="58"/>
        <v>5.119706297310387E-2</v>
      </c>
      <c r="CE85" s="56">
        <f>CD85/(CA85*1000)</f>
        <v>4.5200731202988736E-5</v>
      </c>
      <c r="CF85" s="4">
        <v>23</v>
      </c>
      <c r="CG85">
        <f t="shared" si="60"/>
        <v>0.05</v>
      </c>
    </row>
    <row r="86" spans="23:85" x14ac:dyDescent="0.35">
      <c r="AH86" s="4" t="s">
        <v>91</v>
      </c>
      <c r="AJ86" s="57"/>
      <c r="AK86" s="64"/>
      <c r="AN86" s="79" t="s">
        <v>5</v>
      </c>
      <c r="AO86" s="1" t="s">
        <v>5</v>
      </c>
      <c r="AP86" s="79" t="s">
        <v>5</v>
      </c>
      <c r="CD86" s="124"/>
    </row>
    <row r="87" spans="23:85" x14ac:dyDescent="0.35">
      <c r="AI87" s="1" t="s">
        <v>24</v>
      </c>
      <c r="AJ87" s="60" t="s">
        <v>84</v>
      </c>
      <c r="AK87" s="4"/>
      <c r="AL87" s="64"/>
      <c r="AN87" s="13" t="s">
        <v>6</v>
      </c>
      <c r="AO87" s="79" t="s">
        <v>6</v>
      </c>
      <c r="AP87" s="1" t="s">
        <v>6</v>
      </c>
      <c r="CD87" s="124">
        <f>AVERAGE(CD72:CD85)</f>
        <v>0.36679038687159415</v>
      </c>
      <c r="CE87" s="48">
        <f>AVERAGE(CE72:CE85)</f>
        <v>2.7801580206146726E-4</v>
      </c>
      <c r="CG87" s="48">
        <f>AVERAGE(CG72:CG85)</f>
        <v>0.30564285714285705</v>
      </c>
    </row>
    <row r="88" spans="23:85" x14ac:dyDescent="0.35">
      <c r="AA88">
        <f>0.5*0.001</f>
        <v>5.0000000000000001E-4</v>
      </c>
      <c r="AH88" s="41" t="s">
        <v>8</v>
      </c>
      <c r="AI88" s="59">
        <f>L12</f>
        <v>2</v>
      </c>
      <c r="AJ88" s="5">
        <f>Y50/AL88</f>
        <v>2.3349561830574492</v>
      </c>
      <c r="AK88" s="5"/>
      <c r="AL88" s="61">
        <f>AI88/AE49</f>
        <v>0.18844036697247704</v>
      </c>
      <c r="AN88" s="13" t="s">
        <v>7</v>
      </c>
      <c r="AO88" s="79" t="s">
        <v>7</v>
      </c>
      <c r="AP88" s="79" t="s">
        <v>7</v>
      </c>
    </row>
    <row r="89" spans="23:85" x14ac:dyDescent="0.35">
      <c r="AI89" s="59">
        <f>AI88</f>
        <v>2</v>
      </c>
      <c r="AJ89" s="5">
        <f>Y51/AL88</f>
        <v>8.4376825705939638</v>
      </c>
      <c r="AK89" s="5"/>
      <c r="AL89" s="64"/>
      <c r="AN89" s="1" t="s">
        <v>8</v>
      </c>
      <c r="AO89" s="79" t="s">
        <v>8</v>
      </c>
      <c r="AP89" s="1" t="s">
        <v>8</v>
      </c>
      <c r="CE89" s="56">
        <f>AVERAGE(CE83:CE85)</f>
        <v>5.1227495363387234E-5</v>
      </c>
      <c r="CG89" s="56">
        <f>AVERAGE(CG83:CG85)</f>
        <v>5.6666666666666664E-2</v>
      </c>
    </row>
    <row r="90" spans="23:85" x14ac:dyDescent="0.35">
      <c r="AI90" s="59">
        <f>AI89</f>
        <v>2</v>
      </c>
      <c r="AJ90" s="5">
        <f>Y52/AL88</f>
        <v>11.19717624148004</v>
      </c>
      <c r="AN90" s="79" t="s">
        <v>9</v>
      </c>
      <c r="AO90" s="1" t="s">
        <v>9</v>
      </c>
      <c r="AP90" s="1" t="s">
        <v>9</v>
      </c>
      <c r="BZ90" t="s">
        <v>17</v>
      </c>
      <c r="CA90" t="s">
        <v>20</v>
      </c>
      <c r="CB90" t="s">
        <v>236</v>
      </c>
      <c r="CC90" t="s">
        <v>237</v>
      </c>
    </row>
    <row r="91" spans="23:85" x14ac:dyDescent="0.35">
      <c r="BZ91">
        <v>2000</v>
      </c>
      <c r="CA91">
        <v>380000</v>
      </c>
      <c r="CB91">
        <v>87.62</v>
      </c>
      <c r="CC91">
        <v>40.078000000000003</v>
      </c>
    </row>
    <row r="92" spans="23:85" x14ac:dyDescent="0.35">
      <c r="AK92"/>
    </row>
    <row r="93" spans="23:85" x14ac:dyDescent="0.35">
      <c r="BZ93">
        <f>BZ91*CC91/(CA91*CB91)</f>
        <v>2.4074051826667789E-3</v>
      </c>
    </row>
    <row r="95" spans="23:85" x14ac:dyDescent="0.35">
      <c r="BZ95">
        <f>BZ93*CB91*CA91/CC91</f>
        <v>1999.9999999999998</v>
      </c>
    </row>
    <row r="97" spans="42:101" x14ac:dyDescent="0.35">
      <c r="CL97" s="106" t="s">
        <v>121</v>
      </c>
      <c r="CM97" s="6"/>
      <c r="CN97" s="6"/>
      <c r="CO97" s="6"/>
      <c r="CR97" s="106" t="s">
        <v>290</v>
      </c>
    </row>
    <row r="98" spans="42:101" x14ac:dyDescent="0.35">
      <c r="CL98" s="6" t="s">
        <v>202</v>
      </c>
      <c r="CM98" s="6"/>
      <c r="CN98" s="6" t="s">
        <v>73</v>
      </c>
      <c r="CO98" s="6" t="s">
        <v>60</v>
      </c>
    </row>
    <row r="99" spans="42:101" x14ac:dyDescent="0.35">
      <c r="AP99" s="19"/>
      <c r="CL99" s="79">
        <v>-0.66</v>
      </c>
      <c r="CM99" s="79"/>
      <c r="CN99" s="85">
        <f>10^CL99</f>
        <v>0.21877616239495523</v>
      </c>
      <c r="CO99" s="79">
        <v>6.23</v>
      </c>
      <c r="CR99" t="s">
        <v>259</v>
      </c>
      <c r="CU99" t="s">
        <v>294</v>
      </c>
      <c r="CV99" t="s">
        <v>293</v>
      </c>
    </row>
    <row r="100" spans="42:101" x14ac:dyDescent="0.35">
      <c r="AP100" s="19"/>
      <c r="BG100" s="79" t="s">
        <v>188</v>
      </c>
      <c r="BX100" s="106" t="s">
        <v>281</v>
      </c>
      <c r="CD100" s="106" t="s">
        <v>206</v>
      </c>
      <c r="CL100" s="79">
        <v>-0.4</v>
      </c>
      <c r="CM100" s="79"/>
      <c r="CN100" s="85">
        <f t="shared" ref="CN100:CN111" si="62">10^CL100</f>
        <v>0.3981071705534972</v>
      </c>
      <c r="CO100" s="79">
        <v>6.25</v>
      </c>
      <c r="CR100" t="s">
        <v>292</v>
      </c>
      <c r="CS100">
        <v>21.4</v>
      </c>
      <c r="CU100" s="143">
        <f>CS100/40.078*6.941*CV100/1000*1000</f>
        <v>1523.2514446828682</v>
      </c>
      <c r="CV100" s="40">
        <v>411</v>
      </c>
      <c r="CW100" s="40" t="s">
        <v>295</v>
      </c>
    </row>
    <row r="101" spans="42:101" x14ac:dyDescent="0.35">
      <c r="BI101" s="79" t="s">
        <v>185</v>
      </c>
      <c r="CD101" s="127" t="s">
        <v>204</v>
      </c>
      <c r="CE101" s="127"/>
      <c r="CF101" s="127" t="s">
        <v>205</v>
      </c>
      <c r="CG101" s="127" t="s">
        <v>60</v>
      </c>
      <c r="CL101" s="79">
        <v>-0.24</v>
      </c>
      <c r="CM101" s="79"/>
      <c r="CN101" s="85">
        <f t="shared" si="62"/>
        <v>0.57543993733715693</v>
      </c>
      <c r="CO101" s="79">
        <v>6.31</v>
      </c>
    </row>
    <row r="102" spans="42:101" x14ac:dyDescent="0.35">
      <c r="BG102" s="79" t="s">
        <v>30</v>
      </c>
      <c r="BI102" s="79" t="s">
        <v>184</v>
      </c>
      <c r="BW102" t="s">
        <v>279</v>
      </c>
      <c r="BX102" t="s">
        <v>275</v>
      </c>
      <c r="BY102" t="s">
        <v>276</v>
      </c>
      <c r="BZ102" t="s">
        <v>277</v>
      </c>
      <c r="CA102" t="s">
        <v>278</v>
      </c>
      <c r="CD102" s="127">
        <v>-4.5</v>
      </c>
      <c r="CE102" s="127"/>
      <c r="CF102" s="128">
        <f>10^CD102</f>
        <v>3.1622776601683748E-5</v>
      </c>
      <c r="CG102" s="127">
        <v>8.4</v>
      </c>
      <c r="CL102" s="79">
        <v>-0.17</v>
      </c>
      <c r="CM102" s="79"/>
      <c r="CN102" s="85">
        <f t="shared" si="62"/>
        <v>0.67608297539198181</v>
      </c>
      <c r="CO102" s="79">
        <v>6.22</v>
      </c>
      <c r="CR102" t="s">
        <v>279</v>
      </c>
      <c r="CU102" t="s">
        <v>294</v>
      </c>
      <c r="CV102" t="s">
        <v>293</v>
      </c>
    </row>
    <row r="103" spans="42:101" x14ac:dyDescent="0.35">
      <c r="BG103" s="79" t="s">
        <v>70</v>
      </c>
      <c r="BI103" s="79" t="s">
        <v>70</v>
      </c>
      <c r="BJ103" s="79" t="s">
        <v>30</v>
      </c>
      <c r="BS103" s="79"/>
      <c r="BW103" t="s">
        <v>280</v>
      </c>
      <c r="BX103">
        <v>84.4</v>
      </c>
      <c r="BY103">
        <v>3.15</v>
      </c>
      <c r="BZ103">
        <v>9.9700000000000006</v>
      </c>
      <c r="CA103">
        <v>37.1</v>
      </c>
      <c r="CD103" s="127">
        <v>-4.7</v>
      </c>
      <c r="CE103" s="127"/>
      <c r="CF103" s="128">
        <f t="shared" ref="CF103:CF118" si="63">10^CD103</f>
        <v>1.9952623149688769E-5</v>
      </c>
      <c r="CG103" s="127">
        <v>8.35</v>
      </c>
      <c r="CL103" s="79">
        <v>-0.41</v>
      </c>
      <c r="CM103" s="79"/>
      <c r="CN103" s="85">
        <f t="shared" si="62"/>
        <v>0.38904514499428056</v>
      </c>
      <c r="CO103" s="79">
        <v>6.31</v>
      </c>
      <c r="CR103" t="s">
        <v>291</v>
      </c>
      <c r="CS103">
        <v>71.400000000000006</v>
      </c>
      <c r="CU103" s="44">
        <f>CS103/40.078*6.941*CV103/1000</f>
        <v>4951.6202431857882</v>
      </c>
      <c r="CV103">
        <v>400436</v>
      </c>
    </row>
    <row r="104" spans="42:101" x14ac:dyDescent="0.35">
      <c r="BF104" s="79" t="s">
        <v>127</v>
      </c>
      <c r="BG104" s="85">
        <f>LOG(BG50)</f>
        <v>-1.5228787452803376</v>
      </c>
      <c r="BH104" s="84" t="s">
        <v>99</v>
      </c>
      <c r="BI104" s="85">
        <f>LOG(BI50)</f>
        <v>-2.6020599913279625</v>
      </c>
      <c r="BJ104" s="85" t="s">
        <v>119</v>
      </c>
      <c r="BK104" s="85"/>
      <c r="BL104" s="85"/>
      <c r="BM104" s="85">
        <f>LOG(BM50)</f>
        <v>-2.6020599913279625</v>
      </c>
      <c r="BN104" s="85"/>
      <c r="BO104" s="85"/>
      <c r="BP104" s="85"/>
      <c r="BQ104" s="85"/>
      <c r="BR104" s="85"/>
      <c r="BS104" s="85"/>
      <c r="BW104" t="s">
        <v>283</v>
      </c>
      <c r="BX104">
        <v>9.9</v>
      </c>
      <c r="BY104">
        <v>9.85</v>
      </c>
      <c r="BZ104">
        <v>14.27</v>
      </c>
      <c r="CD104" s="127">
        <v>-5</v>
      </c>
      <c r="CE104" s="127"/>
      <c r="CF104" s="128">
        <f t="shared" si="63"/>
        <v>1.0000000000000001E-5</v>
      </c>
      <c r="CG104" s="127">
        <v>8.4499999999999993</v>
      </c>
      <c r="CL104" s="79">
        <v>-0.18</v>
      </c>
      <c r="CM104" s="79"/>
      <c r="CN104" s="85">
        <f t="shared" si="62"/>
        <v>0.660693448007596</v>
      </c>
      <c r="CO104" s="79">
        <v>6.27</v>
      </c>
    </row>
    <row r="105" spans="42:101" x14ac:dyDescent="0.35">
      <c r="BG105" s="85">
        <f>LOG(BG51)</f>
        <v>-3.5228787452803374</v>
      </c>
      <c r="BH105" s="84" t="s">
        <v>99</v>
      </c>
      <c r="BI105" s="85">
        <f>LOG(BI51)</f>
        <v>-2.6020599913279625</v>
      </c>
      <c r="BJ105" s="85" t="s">
        <v>119</v>
      </c>
      <c r="BK105" s="85"/>
      <c r="BL105" s="85"/>
      <c r="BM105" s="85">
        <f>LOG(BM51)</f>
        <v>-2.6020599913279625</v>
      </c>
      <c r="CD105" s="127">
        <v>-5</v>
      </c>
      <c r="CE105" s="127"/>
      <c r="CF105" s="128">
        <f t="shared" si="63"/>
        <v>1.0000000000000001E-5</v>
      </c>
      <c r="CG105" s="127">
        <v>8.43</v>
      </c>
      <c r="CL105" s="79">
        <v>-0.56999999999999995</v>
      </c>
      <c r="CM105" s="79"/>
      <c r="CN105" s="85">
        <f t="shared" si="62"/>
        <v>0.26915348039269155</v>
      </c>
      <c r="CO105" s="79">
        <v>6.36</v>
      </c>
      <c r="CR105" t="s">
        <v>70</v>
      </c>
      <c r="CS105">
        <f>CS103/(CS100*1000)</f>
        <v>3.3364485981308414E-3</v>
      </c>
    </row>
    <row r="106" spans="42:101" x14ac:dyDescent="0.35">
      <c r="BG106" s="85">
        <f>LOG(BG52)</f>
        <v>-1.1487416512809248</v>
      </c>
      <c r="BH106" s="84" t="s">
        <v>98</v>
      </c>
      <c r="BI106" s="85">
        <f>LOG(BI52)</f>
        <v>-2.6020599913279625</v>
      </c>
      <c r="BJ106" s="85" t="s">
        <v>124</v>
      </c>
      <c r="BK106" s="85"/>
      <c r="BL106" s="85"/>
      <c r="BM106" s="85">
        <f>LOG(BM52)</f>
        <v>-2.6020599913279625</v>
      </c>
      <c r="BN106" s="85"/>
      <c r="BO106" s="85"/>
      <c r="BP106" s="85"/>
      <c r="BQ106" s="85"/>
      <c r="BR106" s="85"/>
      <c r="BS106" s="85"/>
      <c r="BW106" t="s">
        <v>279</v>
      </c>
      <c r="BX106" t="s">
        <v>12</v>
      </c>
      <c r="BY106" t="s">
        <v>17</v>
      </c>
      <c r="BZ106" t="s">
        <v>18</v>
      </c>
      <c r="CA106" t="s">
        <v>20</v>
      </c>
      <c r="CD106" s="127">
        <v>-4.8</v>
      </c>
      <c r="CE106" s="127"/>
      <c r="CF106" s="128">
        <f t="shared" si="63"/>
        <v>1.5848931924611131E-5</v>
      </c>
      <c r="CG106" s="127">
        <v>8.39</v>
      </c>
      <c r="CL106" s="79">
        <v>-0.3</v>
      </c>
      <c r="CM106" s="79"/>
      <c r="CN106" s="85">
        <f t="shared" si="62"/>
        <v>0.50118723362727224</v>
      </c>
      <c r="CO106" s="79">
        <v>6.3</v>
      </c>
    </row>
    <row r="107" spans="42:101" x14ac:dyDescent="0.35">
      <c r="BF107" s="98" t="s">
        <v>1</v>
      </c>
      <c r="BG107" s="100">
        <f>LOG(BG53)</f>
        <v>-3.3979400086720375</v>
      </c>
      <c r="BH107" s="112" t="s">
        <v>142</v>
      </c>
      <c r="BI107" s="100">
        <f>LOG(BI53)</f>
        <v>-3.3472134497472132</v>
      </c>
      <c r="BJ107" s="100" t="s">
        <v>113</v>
      </c>
      <c r="BK107" s="100"/>
      <c r="BL107" s="100"/>
      <c r="BM107" s="100"/>
      <c r="BN107" s="100">
        <f>LOG(BN53)</f>
        <v>-3.3472134497472132</v>
      </c>
      <c r="BO107" s="85"/>
      <c r="BP107" s="85"/>
      <c r="BQ107" s="85"/>
      <c r="BR107" s="85"/>
      <c r="BS107" s="85"/>
      <c r="BX107" t="s">
        <v>175</v>
      </c>
      <c r="BY107" t="s">
        <v>175</v>
      </c>
      <c r="BZ107" t="s">
        <v>282</v>
      </c>
      <c r="CA107" t="s">
        <v>175</v>
      </c>
      <c r="CD107" s="127">
        <v>-4.8</v>
      </c>
      <c r="CE107" s="127"/>
      <c r="CF107" s="128">
        <f t="shared" si="63"/>
        <v>1.5848931924611131E-5</v>
      </c>
      <c r="CG107" s="127">
        <v>8.43</v>
      </c>
      <c r="CL107" s="79">
        <v>-0.46</v>
      </c>
      <c r="CM107" s="79"/>
      <c r="CN107" s="85">
        <f t="shared" si="62"/>
        <v>0.34673685045253166</v>
      </c>
      <c r="CO107" s="79">
        <v>6.3</v>
      </c>
      <c r="CT107" t="s">
        <v>241</v>
      </c>
      <c r="CU107">
        <f>CU100/CU103</f>
        <v>0.30762687158392304</v>
      </c>
    </row>
    <row r="108" spans="42:101" x14ac:dyDescent="0.35">
      <c r="BG108" s="85"/>
      <c r="BH108" s="84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W108" t="s">
        <v>280</v>
      </c>
      <c r="BX108">
        <f>BX103/40.078*24.305*371000/1000</f>
        <v>18989.168172064474</v>
      </c>
      <c r="BY108">
        <f>BY103/40.078*87.62*371000/1000</f>
        <v>2554.945680922202</v>
      </c>
      <c r="BZ108">
        <f>BZ103/40.078*137.327*371000/1000</f>
        <v>12674.153413094466</v>
      </c>
      <c r="CA108">
        <v>371000</v>
      </c>
      <c r="CD108" s="127">
        <v>-6.2</v>
      </c>
      <c r="CE108" s="127"/>
      <c r="CF108" s="128">
        <f t="shared" si="63"/>
        <v>6.3095734448019254E-7</v>
      </c>
      <c r="CG108" s="127">
        <v>8.35</v>
      </c>
      <c r="CL108" s="79">
        <v>-0.33</v>
      </c>
      <c r="CM108" s="79"/>
      <c r="CN108" s="85">
        <f t="shared" si="62"/>
        <v>0.46773514128719818</v>
      </c>
      <c r="CO108" s="79">
        <v>6.23</v>
      </c>
    </row>
    <row r="109" spans="42:101" x14ac:dyDescent="0.35">
      <c r="BF109" s="113" t="s">
        <v>2</v>
      </c>
      <c r="BG109" s="116"/>
      <c r="BH109" s="115"/>
      <c r="BI109" s="116"/>
      <c r="BJ109" s="116"/>
      <c r="BK109" s="116"/>
      <c r="BL109" s="116"/>
      <c r="BM109" s="116"/>
      <c r="BN109" s="116"/>
      <c r="BO109" s="116"/>
      <c r="BP109" s="85"/>
      <c r="BQ109" s="85"/>
      <c r="BR109" s="85"/>
      <c r="BS109" s="85"/>
      <c r="BW109" t="s">
        <v>283</v>
      </c>
      <c r="BX109">
        <f>BX104/40.078*24.305*371000/1000</f>
        <v>2227.4024277658564</v>
      </c>
      <c r="BY109">
        <f>BY104/40.078*87.62*371000/1000</f>
        <v>7989.2745895503767</v>
      </c>
      <c r="BZ109">
        <f>BZ104/40.078*137.327*371000/1000</f>
        <v>18140.438235191374</v>
      </c>
      <c r="CA109">
        <v>371000</v>
      </c>
      <c r="CD109" s="127">
        <v>-5.6</v>
      </c>
      <c r="CE109" s="127"/>
      <c r="CF109" s="128">
        <f t="shared" si="63"/>
        <v>2.5118864315095806E-6</v>
      </c>
      <c r="CG109" s="127">
        <v>8.5</v>
      </c>
      <c r="CL109" s="79">
        <v>-0.36</v>
      </c>
      <c r="CM109" s="79"/>
      <c r="CN109" s="85">
        <f t="shared" si="62"/>
        <v>0.43651583224016594</v>
      </c>
      <c r="CO109" s="79">
        <v>6.28</v>
      </c>
    </row>
    <row r="110" spans="42:101" x14ac:dyDescent="0.35">
      <c r="BF110" s="113"/>
      <c r="BG110" s="116">
        <f>LOG(BG56)</f>
        <v>-2.911155437272996</v>
      </c>
      <c r="BH110" s="115" t="s">
        <v>156</v>
      </c>
      <c r="BI110" s="116">
        <f>LOG(BI56)</f>
        <v>-4.1304565749984583</v>
      </c>
      <c r="BJ110" s="116" t="s">
        <v>169</v>
      </c>
      <c r="BK110" s="116"/>
      <c r="BL110" s="116"/>
      <c r="BM110" s="116"/>
      <c r="BN110" s="116"/>
      <c r="BO110" s="116">
        <f>LOG(BO56)</f>
        <v>-4.1304565749984583</v>
      </c>
      <c r="BP110" s="85"/>
      <c r="BQ110" s="85"/>
      <c r="BR110" s="85"/>
      <c r="BS110" s="85"/>
      <c r="CD110" s="127">
        <v>-3.6</v>
      </c>
      <c r="CE110" s="127"/>
      <c r="CF110" s="128">
        <f t="shared" si="63"/>
        <v>2.5118864315095774E-4</v>
      </c>
      <c r="CG110" s="127">
        <v>9.49</v>
      </c>
      <c r="CL110" s="79">
        <v>-0.36</v>
      </c>
      <c r="CM110" s="79"/>
      <c r="CN110" s="85">
        <f t="shared" si="62"/>
        <v>0.43651583224016594</v>
      </c>
      <c r="CO110" s="79">
        <v>6.35</v>
      </c>
    </row>
    <row r="111" spans="42:101" x14ac:dyDescent="0.35">
      <c r="BF111" s="113"/>
      <c r="BG111" s="116">
        <f>LOG(BG57)</f>
        <v>-2.6257138479676576</v>
      </c>
      <c r="BH111" s="115" t="s">
        <v>111</v>
      </c>
      <c r="BI111" s="116">
        <f>LOG(BI57)</f>
        <v>-4.1304565749984583</v>
      </c>
      <c r="BJ111" s="116" t="s">
        <v>151</v>
      </c>
      <c r="BK111" s="116"/>
      <c r="BL111" s="116"/>
      <c r="BM111" s="116"/>
      <c r="BN111" s="116"/>
      <c r="BO111" s="116">
        <f>LOG(BO57)</f>
        <v>-4.1304565749984583</v>
      </c>
      <c r="BP111" s="85"/>
      <c r="BQ111" s="85"/>
      <c r="BR111" s="85"/>
      <c r="BS111" s="85"/>
      <c r="CD111" s="127">
        <v>-6.2</v>
      </c>
      <c r="CE111" s="127"/>
      <c r="CF111" s="128">
        <f t="shared" si="63"/>
        <v>6.3095734448019254E-7</v>
      </c>
      <c r="CG111" s="127">
        <v>8.2899999999999991</v>
      </c>
      <c r="CL111" s="79">
        <v>-0.4</v>
      </c>
      <c r="CM111" s="79"/>
      <c r="CN111" s="85">
        <f t="shared" si="62"/>
        <v>0.3981071705534972</v>
      </c>
      <c r="CO111" s="79">
        <v>6.24</v>
      </c>
    </row>
    <row r="112" spans="42:101" x14ac:dyDescent="0.35">
      <c r="BF112" s="113"/>
      <c r="BG112" s="116">
        <f>LOG(BG58)</f>
        <v>-2.7227344828498161</v>
      </c>
      <c r="BH112" s="115" t="s">
        <v>111</v>
      </c>
      <c r="BI112" s="116">
        <f>LOG(BI58)</f>
        <v>-4.1304565749984583</v>
      </c>
      <c r="BJ112" s="116" t="s">
        <v>152</v>
      </c>
      <c r="BK112" s="116"/>
      <c r="BL112" s="116"/>
      <c r="BM112" s="116"/>
      <c r="BN112" s="116"/>
      <c r="BO112" s="116">
        <f>LOG(BO58)</f>
        <v>-4.1304565749984583</v>
      </c>
      <c r="BP112" s="85"/>
      <c r="BQ112" s="85"/>
      <c r="BR112" s="85"/>
      <c r="BS112" s="85"/>
      <c r="CD112" s="127">
        <v>-5.8</v>
      </c>
      <c r="CE112" s="127"/>
      <c r="CF112" s="128">
        <f t="shared" si="63"/>
        <v>1.5848931924611111E-6</v>
      </c>
      <c r="CG112" s="127">
        <v>8.44</v>
      </c>
      <c r="CO112" s="79"/>
    </row>
    <row r="113" spans="58:106" x14ac:dyDescent="0.35">
      <c r="BF113" s="113"/>
      <c r="BG113" s="116"/>
      <c r="BH113" s="115"/>
      <c r="BI113" s="116"/>
      <c r="BJ113" s="116"/>
      <c r="BK113" s="116"/>
      <c r="BL113" s="116"/>
      <c r="BM113" s="116"/>
      <c r="BN113" s="116"/>
      <c r="BO113" s="116"/>
      <c r="BP113" s="85"/>
      <c r="BQ113" s="85"/>
      <c r="BR113" s="85"/>
      <c r="BS113" s="85"/>
      <c r="BW113" t="s">
        <v>259</v>
      </c>
      <c r="BX113" t="s">
        <v>275</v>
      </c>
      <c r="BY113" t="s">
        <v>276</v>
      </c>
      <c r="BZ113" t="s">
        <v>277</v>
      </c>
      <c r="CA113" t="s">
        <v>278</v>
      </c>
      <c r="CD113" s="127">
        <v>-4.5</v>
      </c>
      <c r="CE113" s="127"/>
      <c r="CF113" s="128">
        <f t="shared" si="63"/>
        <v>3.1622776601683748E-5</v>
      </c>
      <c r="CG113" s="127">
        <v>8.35</v>
      </c>
      <c r="CN113" s="2">
        <f>AVERAGE(CN99:CN111)</f>
        <v>0.44416125995946076</v>
      </c>
      <c r="CO113" s="2">
        <f>AVERAGE(CO99:CO111)</f>
        <v>6.2807692307692289</v>
      </c>
    </row>
    <row r="114" spans="58:106" x14ac:dyDescent="0.35">
      <c r="BF114" s="113"/>
      <c r="BG114" s="116">
        <f>LOG(BG60)</f>
        <v>-1.826813731587726</v>
      </c>
      <c r="BH114" s="115" t="s">
        <v>111</v>
      </c>
      <c r="BI114" s="116">
        <f>LOG(BI60)</f>
        <v>-4.1304565749984583</v>
      </c>
      <c r="BJ114" s="116" t="s">
        <v>115</v>
      </c>
      <c r="BK114" s="116"/>
      <c r="BL114" s="116"/>
      <c r="BM114" s="116"/>
      <c r="BN114" s="116"/>
      <c r="BO114" s="116">
        <f>LOG(BO60)</f>
        <v>-4.1304565749984583</v>
      </c>
      <c r="BP114" s="85"/>
      <c r="BQ114" s="85"/>
      <c r="BR114" s="85"/>
      <c r="BS114" s="85"/>
      <c r="BW114" t="s">
        <v>280</v>
      </c>
      <c r="BX114">
        <f>BX119*40.078/24.305/CA119*1000</f>
        <v>7142.7771248632789</v>
      </c>
      <c r="BY114">
        <f>BY119*40.078/87.62/CA119*1000</f>
        <v>8.6726175813198765</v>
      </c>
      <c r="BZ114">
        <f>BZ119*40.078/137.327/CA119*1000</f>
        <v>4.4932349446760274</v>
      </c>
      <c r="CD114" s="127">
        <v>-4.5999999999999996</v>
      </c>
      <c r="CE114" s="127"/>
      <c r="CF114" s="128">
        <f t="shared" si="63"/>
        <v>2.5118864315095791E-5</v>
      </c>
      <c r="CG114" s="127">
        <v>8.26</v>
      </c>
    </row>
    <row r="115" spans="58:106" x14ac:dyDescent="0.35">
      <c r="BF115" s="113"/>
      <c r="BG115" s="116">
        <f>LOG(BG61)</f>
        <v>-2.7695510786217259</v>
      </c>
      <c r="BH115" s="115" t="s">
        <v>111</v>
      </c>
      <c r="BI115" s="116">
        <f>LOG(BI61)</f>
        <v>-4.1304565749984583</v>
      </c>
      <c r="BJ115" s="116" t="s">
        <v>117</v>
      </c>
      <c r="BK115" s="116"/>
      <c r="BL115" s="116"/>
      <c r="BM115" s="116"/>
      <c r="BN115" s="116"/>
      <c r="BO115" s="116">
        <f>LOG(BO61)</f>
        <v>-4.1304565749984583</v>
      </c>
      <c r="BP115" s="85"/>
      <c r="BQ115" s="85"/>
      <c r="BR115" s="85"/>
      <c r="BS115" s="85"/>
      <c r="BW115" t="s">
        <v>283</v>
      </c>
      <c r="BX115">
        <f>BX120*40.078/24.305/CA120*1000</f>
        <v>7243.9436227625511</v>
      </c>
      <c r="BY115">
        <f>BY120*40.078/87.62/CA120*1000</f>
        <v>7.646206311514784</v>
      </c>
      <c r="BZ115">
        <f>BZ120*40.078/137.327/CA120*1000</f>
        <v>3.1943075769289035</v>
      </c>
      <c r="CD115" s="127">
        <v>-4.9000000000000004</v>
      </c>
      <c r="CE115" s="127"/>
      <c r="CF115" s="128">
        <f t="shared" si="63"/>
        <v>1.2589254117941658E-5</v>
      </c>
      <c r="CG115" s="127">
        <v>8.4700000000000006</v>
      </c>
    </row>
    <row r="116" spans="58:106" x14ac:dyDescent="0.35">
      <c r="BG116" s="85"/>
      <c r="BH116" s="84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CD116" s="127">
        <v>-4.8</v>
      </c>
      <c r="CE116" s="127"/>
      <c r="CF116" s="128">
        <f t="shared" si="63"/>
        <v>1.5848931924611131E-5</v>
      </c>
      <c r="CG116" s="127">
        <v>8.4700000000000006</v>
      </c>
    </row>
    <row r="117" spans="58:106" x14ac:dyDescent="0.35"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W117" t="s">
        <v>259</v>
      </c>
      <c r="BX117" t="s">
        <v>12</v>
      </c>
      <c r="BY117" t="s">
        <v>17</v>
      </c>
      <c r="BZ117" t="s">
        <v>18</v>
      </c>
      <c r="CA117" t="s">
        <v>20</v>
      </c>
      <c r="CD117" s="127">
        <v>-6.7</v>
      </c>
      <c r="CE117" s="127"/>
      <c r="CF117" s="128">
        <f t="shared" si="63"/>
        <v>1.9952623149688761E-7</v>
      </c>
      <c r="CG117" s="127">
        <v>8.25</v>
      </c>
    </row>
    <row r="118" spans="58:106" x14ac:dyDescent="0.35">
      <c r="BF118" s="107" t="s">
        <v>4</v>
      </c>
      <c r="BG118" s="110">
        <f>LOG(BG64)</f>
        <v>-4.3010299956639813</v>
      </c>
      <c r="BH118" s="109" t="s">
        <v>129</v>
      </c>
      <c r="BI118" s="110">
        <f>LOG(BI64)</f>
        <v>-4.1519316881503823</v>
      </c>
      <c r="BJ118" s="110" t="s">
        <v>112</v>
      </c>
      <c r="BK118" s="110"/>
      <c r="BL118" s="110"/>
      <c r="BM118" s="110"/>
      <c r="BN118" s="110"/>
      <c r="BO118" s="110"/>
      <c r="BP118" s="110">
        <f>LOG(BP64)</f>
        <v>-4.1519316881503823</v>
      </c>
      <c r="BQ118" s="85"/>
      <c r="BR118" s="85"/>
      <c r="BS118" s="85"/>
      <c r="BX118" t="s">
        <v>175</v>
      </c>
      <c r="BY118" t="s">
        <v>175</v>
      </c>
      <c r="BZ118" t="s">
        <v>282</v>
      </c>
      <c r="CA118" t="s">
        <v>175</v>
      </c>
      <c r="CD118" s="127">
        <v>-6.6</v>
      </c>
      <c r="CE118" s="127"/>
      <c r="CF118" s="128">
        <f t="shared" si="63"/>
        <v>2.511886431509578E-7</v>
      </c>
      <c r="CG118" s="127">
        <v>8.16</v>
      </c>
    </row>
    <row r="119" spans="58:106" x14ac:dyDescent="0.35"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W119" t="s">
        <v>280</v>
      </c>
      <c r="BX119">
        <v>875</v>
      </c>
      <c r="BY119">
        <v>3.83</v>
      </c>
      <c r="BZ119">
        <v>3.11</v>
      </c>
      <c r="CA119">
        <v>202</v>
      </c>
      <c r="CD119" s="127"/>
      <c r="CE119" s="127"/>
      <c r="CF119" s="128"/>
      <c r="CG119" s="127"/>
    </row>
    <row r="120" spans="58:106" x14ac:dyDescent="0.35">
      <c r="BF120" s="119" t="s">
        <v>6</v>
      </c>
      <c r="BG120" s="120">
        <f>LOG(BG66)</f>
        <v>0.50514997831990605</v>
      </c>
      <c r="BH120" s="121" t="s">
        <v>67</v>
      </c>
      <c r="BI120" s="120">
        <f>LOG(BI66)</f>
        <v>0.56021005102203714</v>
      </c>
      <c r="BJ120" s="120" t="s">
        <v>131</v>
      </c>
      <c r="BK120" s="120"/>
      <c r="BL120" s="120"/>
      <c r="BM120" s="120"/>
      <c r="BN120" s="120"/>
      <c r="BO120" s="120"/>
      <c r="BP120" s="120"/>
      <c r="BQ120" s="120">
        <f>LOG(BQ66)</f>
        <v>0.56021005102203714</v>
      </c>
      <c r="BR120" s="85"/>
      <c r="BS120" s="85"/>
      <c r="BW120" t="s">
        <v>283</v>
      </c>
      <c r="BX120">
        <v>883</v>
      </c>
      <c r="BY120">
        <v>3.36</v>
      </c>
      <c r="BZ120">
        <v>2.2000000000000002</v>
      </c>
      <c r="CA120">
        <v>201</v>
      </c>
      <c r="CD120" s="127"/>
      <c r="CE120" s="127"/>
      <c r="CF120" s="129">
        <f>AVERAGE(CF102:CF118)</f>
        <v>2.6203008405791992E-5</v>
      </c>
      <c r="CG120" s="129">
        <f>AVERAGE(CG102:CG118)</f>
        <v>8.44</v>
      </c>
    </row>
    <row r="121" spans="58:106" x14ac:dyDescent="0.35">
      <c r="BF121" s="13" t="s">
        <v>7</v>
      </c>
      <c r="BG121" s="14"/>
      <c r="BH121" s="3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85"/>
      <c r="CD121" t="s">
        <v>207</v>
      </c>
      <c r="CO121" s="106" t="s">
        <v>245</v>
      </c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</row>
    <row r="122" spans="58:106" x14ac:dyDescent="0.35">
      <c r="BF122" s="13"/>
      <c r="BG122" s="14">
        <f>LOG(BG68)</f>
        <v>6.8185861746161619E-2</v>
      </c>
      <c r="BH122" s="34" t="s">
        <v>156</v>
      </c>
      <c r="BI122" s="14">
        <f>LOG(BI68)</f>
        <v>-0.76172830399195335</v>
      </c>
      <c r="BJ122" s="14" t="s">
        <v>169</v>
      </c>
      <c r="BK122" s="14"/>
      <c r="BL122" s="14"/>
      <c r="BM122" s="14"/>
      <c r="BN122" s="14"/>
      <c r="BO122" s="14"/>
      <c r="BP122" s="14"/>
      <c r="BQ122" s="14"/>
      <c r="BR122" s="14">
        <f>LOG(BR68)</f>
        <v>-0.76172830399195335</v>
      </c>
      <c r="BS122" s="85"/>
      <c r="CO122" s="6" t="s">
        <v>21</v>
      </c>
      <c r="CP122" s="6" t="s">
        <v>175</v>
      </c>
      <c r="CQ122" s="6" t="s">
        <v>228</v>
      </c>
      <c r="CR122" s="6" t="s">
        <v>246</v>
      </c>
      <c r="CS122" s="6"/>
      <c r="CT122" s="6"/>
      <c r="CU122" s="6"/>
      <c r="CV122" s="6"/>
      <c r="CW122" s="6"/>
      <c r="CX122" s="6"/>
      <c r="CY122" s="6"/>
      <c r="CZ122" s="6"/>
      <c r="DA122" s="6"/>
      <c r="DB122" s="6"/>
    </row>
    <row r="123" spans="58:106" x14ac:dyDescent="0.35">
      <c r="BF123" s="13"/>
      <c r="BG123" s="14">
        <f>LOG(BG69)</f>
        <v>0.10380372095595687</v>
      </c>
      <c r="BH123" s="34" t="s">
        <v>121</v>
      </c>
      <c r="BI123" s="14">
        <f>LOG(BI69)</f>
        <v>-0.76172830399195335</v>
      </c>
      <c r="BJ123" s="14" t="s">
        <v>157</v>
      </c>
      <c r="BK123" s="14"/>
      <c r="BL123" s="14"/>
      <c r="BM123" s="14"/>
      <c r="BN123" s="14"/>
      <c r="BO123" s="14"/>
      <c r="BP123" s="14"/>
      <c r="BQ123" s="14"/>
      <c r="BR123" s="14">
        <f>LOG(BR69)</f>
        <v>-0.76172830399195335</v>
      </c>
      <c r="BS123" s="85"/>
      <c r="BW123" t="s">
        <v>70</v>
      </c>
      <c r="CO123">
        <v>65.38</v>
      </c>
      <c r="CP123" t="s">
        <v>16</v>
      </c>
      <c r="CQ123">
        <v>0.55000000000000004</v>
      </c>
      <c r="CR123">
        <v>1.4E-2</v>
      </c>
      <c r="CT123" t="s">
        <v>16</v>
      </c>
      <c r="CU123">
        <v>1</v>
      </c>
      <c r="CV123">
        <f>5.4/1000000000</f>
        <v>5.4000000000000004E-9</v>
      </c>
      <c r="CW123" t="s">
        <v>82</v>
      </c>
    </row>
    <row r="124" spans="58:106" x14ac:dyDescent="0.35">
      <c r="BF124" s="13"/>
      <c r="BG124" s="14">
        <f>LOG(BG70)</f>
        <v>0.14528338545663835</v>
      </c>
      <c r="BH124" s="34" t="s">
        <v>111</v>
      </c>
      <c r="BI124" s="14">
        <f>LOG(BI70)</f>
        <v>-0.76172830399195335</v>
      </c>
      <c r="BJ124" s="14" t="s">
        <v>151</v>
      </c>
      <c r="BK124" s="14"/>
      <c r="BL124" s="14"/>
      <c r="BM124" s="14"/>
      <c r="BN124" s="14"/>
      <c r="BO124" s="14"/>
      <c r="BP124" s="14"/>
      <c r="BQ124" s="14"/>
      <c r="BR124" s="14">
        <f>LOG(BR70)</f>
        <v>-0.76172830399195335</v>
      </c>
      <c r="BS124" s="85"/>
      <c r="BW124" t="s">
        <v>280</v>
      </c>
      <c r="BX124">
        <f>BX103/BX114</f>
        <v>1.1816132370449053E-2</v>
      </c>
      <c r="BY124">
        <f t="shared" ref="BY124:BZ125" si="64">BY103/BY114</f>
        <v>0.36321214102474064</v>
      </c>
      <c r="BZ124">
        <f t="shared" si="64"/>
        <v>2.2188913161136425</v>
      </c>
      <c r="CO124">
        <v>40.078000000000003</v>
      </c>
      <c r="CP124" s="6" t="s">
        <v>20</v>
      </c>
      <c r="CQ124" s="6">
        <v>380000</v>
      </c>
      <c r="CR124" s="6">
        <v>411</v>
      </c>
      <c r="CU124">
        <v>65.38</v>
      </c>
      <c r="CV124">
        <f>CU124*CV123*1000000</f>
        <v>0.35305199999999998</v>
      </c>
      <c r="CW124" t="s">
        <v>269</v>
      </c>
      <c r="CX124">
        <f>CV124/1000</f>
        <v>3.5305199999999997E-4</v>
      </c>
      <c r="CY124" t="s">
        <v>266</v>
      </c>
    </row>
    <row r="125" spans="58:106" x14ac:dyDescent="0.35">
      <c r="BF125" s="13"/>
      <c r="BG125" s="14">
        <f>LOG(BG71)</f>
        <v>0.11464626458562016</v>
      </c>
      <c r="BH125" s="34" t="s">
        <v>111</v>
      </c>
      <c r="BI125" s="14">
        <f>LOG(BI71)</f>
        <v>-0.76172830399195335</v>
      </c>
      <c r="BJ125" s="14" t="s">
        <v>152</v>
      </c>
      <c r="BK125" s="14"/>
      <c r="BL125" s="14"/>
      <c r="BM125" s="14"/>
      <c r="BN125" s="14"/>
      <c r="BO125" s="14"/>
      <c r="BP125" s="14"/>
      <c r="BQ125" s="14"/>
      <c r="BR125" s="14">
        <f>LOG(BR71)</f>
        <v>-0.76172830399195335</v>
      </c>
      <c r="BS125" s="85"/>
      <c r="BW125" t="s">
        <v>283</v>
      </c>
      <c r="BX125">
        <f>BX104/BX115</f>
        <v>1.366658896804685E-3</v>
      </c>
      <c r="BY125">
        <f t="shared" si="64"/>
        <v>1.288220536917297</v>
      </c>
      <c r="BZ125">
        <f t="shared" si="64"/>
        <v>4.467321839345094</v>
      </c>
      <c r="CO125" s="1"/>
      <c r="CP125" s="6"/>
      <c r="CQ125" s="6"/>
      <c r="CR125" s="6"/>
      <c r="CS125" s="1"/>
      <c r="CT125" s="1"/>
      <c r="CY125" s="1"/>
      <c r="CZ125" s="1"/>
      <c r="DA125" s="1"/>
      <c r="DB125" s="1"/>
    </row>
    <row r="126" spans="58:106" x14ac:dyDescent="0.35">
      <c r="BF126" s="13"/>
      <c r="BG126" s="14"/>
      <c r="BH126" s="3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85"/>
      <c r="CO126" s="1"/>
      <c r="CP126" s="139" t="s">
        <v>249</v>
      </c>
      <c r="CQ126" s="6" t="s">
        <v>247</v>
      </c>
      <c r="CR126" s="6" t="s">
        <v>248</v>
      </c>
      <c r="CS126" s="1"/>
      <c r="CT126" s="6" t="s">
        <v>20</v>
      </c>
      <c r="CU126">
        <v>1</v>
      </c>
      <c r="CV126">
        <f>10.27/1000</f>
        <v>1.027E-2</v>
      </c>
      <c r="CY126" s="1"/>
      <c r="CZ126" s="1"/>
      <c r="DA126" s="1"/>
      <c r="DB126" s="1"/>
    </row>
    <row r="127" spans="58:106" x14ac:dyDescent="0.35">
      <c r="BF127" s="13"/>
      <c r="BG127" s="14">
        <f>LOG(BG73)</f>
        <v>-0.37986394502624249</v>
      </c>
      <c r="BH127" s="34" t="s">
        <v>111</v>
      </c>
      <c r="BI127" s="14">
        <f>LOG(BI73)</f>
        <v>-0.76172830399195335</v>
      </c>
      <c r="BJ127" s="14" t="s">
        <v>115</v>
      </c>
      <c r="BK127" s="14"/>
      <c r="BL127" s="14"/>
      <c r="BM127" s="14"/>
      <c r="BN127" s="14"/>
      <c r="BO127" s="14"/>
      <c r="BP127" s="14"/>
      <c r="BQ127" s="14"/>
      <c r="BR127" s="14">
        <f>LOG(BR73)</f>
        <v>-0.76172830399195335</v>
      </c>
      <c r="BS127" s="85"/>
      <c r="BW127" t="s">
        <v>241</v>
      </c>
      <c r="CP127" s="6" t="s">
        <v>158</v>
      </c>
      <c r="CQ127" s="6">
        <f>CQ123*CO124/CO123/CQ124*1000</f>
        <v>8.8723817037239809E-4</v>
      </c>
      <c r="CR127" s="6">
        <f>CR123*CO124/CO123/CR124*1000</f>
        <v>2.0880809849065061E-2</v>
      </c>
      <c r="CU127">
        <v>40.078000000000003</v>
      </c>
      <c r="CV127">
        <f>CU127*CV126</f>
        <v>0.41160106000000002</v>
      </c>
      <c r="CW127">
        <f>CV127*1000</f>
        <v>411.60106000000002</v>
      </c>
      <c r="CX127" t="s">
        <v>267</v>
      </c>
    </row>
    <row r="128" spans="58:106" x14ac:dyDescent="0.35">
      <c r="BF128" s="13"/>
      <c r="BG128" s="14">
        <f>LOG(BG74)</f>
        <v>9.3421685162235063E-2</v>
      </c>
      <c r="BH128" s="34" t="s">
        <v>111</v>
      </c>
      <c r="BI128" s="14">
        <f>LOG(BI74)</f>
        <v>-0.76172830399195335</v>
      </c>
      <c r="BJ128" s="14" t="s">
        <v>117</v>
      </c>
      <c r="BK128" s="14"/>
      <c r="BL128" s="14"/>
      <c r="BM128" s="14"/>
      <c r="BN128" s="14"/>
      <c r="BO128" s="14"/>
      <c r="BP128" s="14"/>
      <c r="BQ128" s="14"/>
      <c r="BR128" s="14">
        <f>LOG(BR74)</f>
        <v>-0.76172830399195335</v>
      </c>
      <c r="BS128" s="85"/>
      <c r="BW128" t="s">
        <v>280</v>
      </c>
      <c r="BX128" s="38">
        <f t="shared" ref="BX128:CA129" si="65">BX108/BX119</f>
        <v>21.701906482359398</v>
      </c>
      <c r="BY128" s="44">
        <f t="shared" si="65"/>
        <v>667.08764514940003</v>
      </c>
      <c r="BZ128" s="44">
        <f t="shared" si="65"/>
        <v>4075.2904865255518</v>
      </c>
      <c r="CA128" s="44">
        <f t="shared" si="65"/>
        <v>1836.6336633663366</v>
      </c>
      <c r="CO128" s="1"/>
      <c r="CP128" s="6" t="s">
        <v>268</v>
      </c>
      <c r="CQ128" s="6"/>
      <c r="CR128" s="7">
        <f>CR127*1000</f>
        <v>20.880809849065063</v>
      </c>
      <c r="CS128" s="1"/>
      <c r="CT128" s="1"/>
      <c r="CU128" s="1"/>
      <c r="CV128" s="1"/>
      <c r="CW128" s="1"/>
      <c r="CX128" s="1"/>
      <c r="CY128" s="1"/>
      <c r="CZ128" s="1"/>
      <c r="DA128" s="1"/>
      <c r="DB128" s="1"/>
    </row>
    <row r="129" spans="25:106" x14ac:dyDescent="0.35">
      <c r="BG129" s="85"/>
      <c r="BH129" s="84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W129" t="s">
        <v>283</v>
      </c>
      <c r="BX129" s="38">
        <f t="shared" si="65"/>
        <v>2.5225395557937218</v>
      </c>
      <c r="BY129" s="44">
        <f t="shared" si="65"/>
        <v>2377.7602945090407</v>
      </c>
      <c r="BZ129" s="44">
        <f t="shared" si="65"/>
        <v>8245.6537432688056</v>
      </c>
      <c r="CA129" s="44">
        <f t="shared" si="65"/>
        <v>1845.7711442786069</v>
      </c>
      <c r="CO129" s="1"/>
      <c r="CP129" s="6"/>
      <c r="CQ129" s="6" t="s">
        <v>250</v>
      </c>
      <c r="CR129" s="6" t="s">
        <v>241</v>
      </c>
      <c r="CS129" s="1"/>
      <c r="CT129" s="1"/>
      <c r="CU129" s="1"/>
      <c r="CV129" s="1"/>
      <c r="CW129" s="1"/>
      <c r="CX129" s="1"/>
      <c r="CY129" s="1"/>
      <c r="CZ129" s="1"/>
      <c r="DA129" s="1"/>
      <c r="DB129" s="1"/>
    </row>
    <row r="130" spans="25:106" x14ac:dyDescent="0.35">
      <c r="BF130" s="11" t="s">
        <v>8</v>
      </c>
      <c r="BG130" s="12">
        <f>LOG(BG76)</f>
        <v>-0.35654732351381258</v>
      </c>
      <c r="BH130" s="118" t="s">
        <v>114</v>
      </c>
      <c r="BI130" s="12">
        <f>LOG(BI76)</f>
        <v>-0.26998119867085407</v>
      </c>
      <c r="BJ130" s="11" t="s">
        <v>203</v>
      </c>
      <c r="BK130" s="11"/>
      <c r="BL130" s="11"/>
      <c r="BM130" s="12"/>
      <c r="BN130" s="11"/>
      <c r="BO130" s="11"/>
      <c r="BP130" s="11"/>
      <c r="BQ130" s="11"/>
      <c r="BR130" s="11"/>
      <c r="BS130" s="12">
        <f>LOG(BS76)</f>
        <v>-0.26998119867085407</v>
      </c>
      <c r="CP130" s="6"/>
      <c r="CQ130" s="6">
        <f>CQ127/CR127</f>
        <v>4.2490601503759405E-2</v>
      </c>
      <c r="CR130" s="6">
        <f>CQ123/CR123</f>
        <v>39.285714285714285</v>
      </c>
    </row>
    <row r="131" spans="25:106" x14ac:dyDescent="0.35">
      <c r="Y131" s="79"/>
      <c r="Z131" s="79"/>
      <c r="AA131" s="79"/>
      <c r="AB131" s="79"/>
      <c r="AC131" s="79"/>
      <c r="AD131" s="79"/>
      <c r="AE131" s="79"/>
      <c r="AF131" s="79"/>
      <c r="BF131" s="11"/>
      <c r="BG131" s="12">
        <f>LOG(BG77)</f>
        <v>0.31597034545691771</v>
      </c>
      <c r="BH131" s="122" t="s">
        <v>121</v>
      </c>
      <c r="BI131" s="12">
        <f>LOG(BI77)</f>
        <v>-0.26998119867085407</v>
      </c>
      <c r="BJ131" s="12" t="s">
        <v>157</v>
      </c>
      <c r="BK131" s="12"/>
      <c r="BL131" s="12"/>
      <c r="BM131" s="12"/>
      <c r="BN131" s="12"/>
      <c r="BO131" s="12"/>
      <c r="BP131" s="12"/>
      <c r="BQ131" s="12"/>
      <c r="BR131" s="12"/>
      <c r="BS131" s="12">
        <f>LOG(BS77)</f>
        <v>-0.26998119867085407</v>
      </c>
      <c r="CP131" s="6"/>
      <c r="CQ131" s="6"/>
      <c r="CR131" s="6"/>
    </row>
    <row r="132" spans="25:106" x14ac:dyDescent="0.35">
      <c r="BF132" s="11"/>
      <c r="BG132" s="12">
        <f>LOG(BG78)</f>
        <v>0.80611254477877492</v>
      </c>
      <c r="BH132" s="122" t="s">
        <v>111</v>
      </c>
      <c r="BI132" s="12">
        <f>LOG(BI78)</f>
        <v>-0.26998119867085407</v>
      </c>
      <c r="BJ132" s="12" t="s">
        <v>151</v>
      </c>
      <c r="BK132" s="12"/>
      <c r="BL132" s="12"/>
      <c r="BM132" s="12"/>
      <c r="BN132" s="12"/>
      <c r="BO132" s="12"/>
      <c r="BP132" s="12"/>
      <c r="BQ132" s="12"/>
      <c r="BR132" s="12"/>
      <c r="BS132" s="12">
        <f>LOG(BS78)</f>
        <v>-0.26998119867085407</v>
      </c>
      <c r="CO132" s="4" t="s">
        <v>173</v>
      </c>
      <c r="CP132" s="6"/>
      <c r="CQ132" s="6"/>
      <c r="CR132" s="6"/>
    </row>
    <row r="133" spans="25:106" x14ac:dyDescent="0.35">
      <c r="BF133" s="11"/>
      <c r="BG133" s="12">
        <f>LOG(BG79)</f>
        <v>0.65662459944652352</v>
      </c>
      <c r="BH133" s="122" t="s">
        <v>111</v>
      </c>
      <c r="BI133" s="12">
        <f>LOG(BI79)</f>
        <v>-0.26998119867085407</v>
      </c>
      <c r="BJ133" s="12" t="s">
        <v>152</v>
      </c>
      <c r="BK133" s="12"/>
      <c r="BL133" s="12"/>
      <c r="BM133" s="12"/>
      <c r="BN133" s="12"/>
      <c r="BO133" s="12"/>
      <c r="BP133" s="12"/>
      <c r="BQ133" s="12"/>
      <c r="BR133" s="12"/>
      <c r="BS133" s="12">
        <f>LOG(BS79)</f>
        <v>-0.26998119867085407</v>
      </c>
      <c r="CP133" s="4" t="s">
        <v>16</v>
      </c>
      <c r="CQ133" s="4" t="s">
        <v>20</v>
      </c>
      <c r="CR133" s="6"/>
      <c r="CZ133" t="s">
        <v>16</v>
      </c>
      <c r="DA133" t="s">
        <v>20</v>
      </c>
    </row>
    <row r="134" spans="25:106" x14ac:dyDescent="0.35">
      <c r="BF134" s="11"/>
      <c r="BG134" s="12"/>
      <c r="BH134" s="12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CP134" s="6" t="s">
        <v>251</v>
      </c>
      <c r="CQ134" s="6"/>
      <c r="CR134" s="6"/>
      <c r="CY134" t="s">
        <v>21</v>
      </c>
      <c r="CZ134">
        <v>65.38</v>
      </c>
      <c r="DA134">
        <v>40.078000000000003</v>
      </c>
    </row>
    <row r="135" spans="25:106" x14ac:dyDescent="0.35">
      <c r="BF135" s="11"/>
      <c r="BG135" s="12">
        <f>LOG(BG81)</f>
        <v>0.2576785748691845</v>
      </c>
      <c r="BH135" s="122" t="s">
        <v>111</v>
      </c>
      <c r="BI135" s="12">
        <f>LOG(BI81)</f>
        <v>-0.26998119867085407</v>
      </c>
      <c r="BJ135" s="12" t="s">
        <v>115</v>
      </c>
      <c r="BK135" s="12"/>
      <c r="BL135" s="12"/>
      <c r="BM135" s="12"/>
      <c r="BN135" s="12"/>
      <c r="BO135" s="12"/>
      <c r="BP135" s="12"/>
      <c r="BQ135" s="12"/>
      <c r="BR135" s="12"/>
      <c r="BS135" s="12">
        <f>LOG(BS81)</f>
        <v>-0.26998119867085407</v>
      </c>
      <c r="CP135" s="6">
        <f>2.12/(10^6)</f>
        <v>2.12E-6</v>
      </c>
      <c r="CQ135" s="6">
        <f>4.6/1000</f>
        <v>4.5999999999999999E-3</v>
      </c>
      <c r="CR135" s="6"/>
      <c r="CY135" t="s">
        <v>175</v>
      </c>
      <c r="CZ135">
        <v>1.4E-2</v>
      </c>
      <c r="DA135">
        <v>411</v>
      </c>
    </row>
    <row r="136" spans="25:106" x14ac:dyDescent="0.35">
      <c r="BF136" s="11"/>
      <c r="BG136" s="12">
        <f>LOG(BG82)</f>
        <v>0.47567118832442967</v>
      </c>
      <c r="BH136" s="122" t="s">
        <v>111</v>
      </c>
      <c r="BI136" s="12">
        <f>LOG(BI82)</f>
        <v>-0.26998119867085407</v>
      </c>
      <c r="BJ136" s="12" t="s">
        <v>117</v>
      </c>
      <c r="BK136" s="12"/>
      <c r="BL136" s="12"/>
      <c r="BM136" s="12"/>
      <c r="BN136" s="12"/>
      <c r="BO136" s="12"/>
      <c r="BP136" s="12"/>
      <c r="BQ136" s="12"/>
      <c r="BR136" s="12"/>
      <c r="BS136" s="12">
        <f>LOG(BS82)</f>
        <v>-0.26998119867085407</v>
      </c>
      <c r="CO136" t="s">
        <v>252</v>
      </c>
      <c r="CP136" s="6">
        <f>CO123*CP135</f>
        <v>1.3860559999999999E-4</v>
      </c>
      <c r="CQ136" s="6">
        <f>CO124*CQ135</f>
        <v>0.18435880000000002</v>
      </c>
      <c r="CR136" s="6" t="s">
        <v>253</v>
      </c>
    </row>
    <row r="137" spans="25:106" x14ac:dyDescent="0.35">
      <c r="CO137" s="4" t="s">
        <v>182</v>
      </c>
      <c r="CP137" s="4">
        <f>CP136*1000</f>
        <v>0.1386056</v>
      </c>
      <c r="CQ137" s="4">
        <f>CQ136*1000</f>
        <v>184.35880000000003</v>
      </c>
      <c r="CR137" s="4" t="s">
        <v>175</v>
      </c>
    </row>
    <row r="138" spans="25:106" x14ac:dyDescent="0.35">
      <c r="CB138" s="160" t="s">
        <v>364</v>
      </c>
      <c r="CP138" s="6"/>
      <c r="CQ138" s="6"/>
      <c r="CR138" s="6"/>
      <c r="CY138" t="s">
        <v>270</v>
      </c>
      <c r="CZ138">
        <v>1000</v>
      </c>
      <c r="DA138">
        <v>1000</v>
      </c>
    </row>
    <row r="139" spans="25:106" x14ac:dyDescent="0.35">
      <c r="BW139" s="106" t="s">
        <v>229</v>
      </c>
      <c r="CB139" s="160" t="s">
        <v>365</v>
      </c>
      <c r="CP139" s="6" t="s">
        <v>70</v>
      </c>
      <c r="CQ139" s="6" t="s">
        <v>288</v>
      </c>
      <c r="CR139" s="6" t="s">
        <v>248</v>
      </c>
      <c r="CY139" t="s">
        <v>271</v>
      </c>
      <c r="CZ139">
        <f>CZ138/100*CZ135/10000</f>
        <v>1.4000000000000001E-5</v>
      </c>
      <c r="DA139">
        <f>DA138/100*DA135/10000</f>
        <v>0.41099999999999998</v>
      </c>
    </row>
    <row r="140" spans="25:106" x14ac:dyDescent="0.35">
      <c r="CB140" s="160"/>
      <c r="CG140" t="s">
        <v>228</v>
      </c>
      <c r="CH140" t="s">
        <v>414</v>
      </c>
      <c r="CI140" t="s">
        <v>415</v>
      </c>
      <c r="CJ140" t="s">
        <v>29</v>
      </c>
      <c r="CP140" s="6"/>
      <c r="CQ140" s="6" t="s">
        <v>159</v>
      </c>
      <c r="CR140" s="6" t="s">
        <v>159</v>
      </c>
    </row>
    <row r="141" spans="25:106" x14ac:dyDescent="0.35">
      <c r="BW141" t="s">
        <v>21</v>
      </c>
      <c r="BY141" t="s">
        <v>226</v>
      </c>
      <c r="BZ141" t="s">
        <v>230</v>
      </c>
      <c r="CA141" t="s">
        <v>341</v>
      </c>
      <c r="CB141" s="160" t="s">
        <v>346</v>
      </c>
      <c r="CC141" t="s">
        <v>299</v>
      </c>
      <c r="CD141" s="11" t="s">
        <v>300</v>
      </c>
      <c r="CE141" s="98" t="s">
        <v>301</v>
      </c>
      <c r="CF141" t="s">
        <v>242</v>
      </c>
      <c r="CG141" t="s">
        <v>227</v>
      </c>
      <c r="CH141" t="s">
        <v>227</v>
      </c>
      <c r="CJ141" t="s">
        <v>227</v>
      </c>
      <c r="CK141" t="s">
        <v>70</v>
      </c>
      <c r="CL141" t="s">
        <v>302</v>
      </c>
      <c r="CP141" s="6">
        <v>3.2</v>
      </c>
      <c r="CQ141" s="6">
        <f>CP141*CR141</f>
        <v>1.474782608695652E-3</v>
      </c>
      <c r="CR141" s="6">
        <f>CP137*CO124/CO123/CQ137</f>
        <v>4.6086956521739126E-4</v>
      </c>
      <c r="CS141" s="6"/>
      <c r="CY141">
        <v>1</v>
      </c>
      <c r="CZ141" s="142">
        <f>CZ142/CY142</f>
        <v>2.1413276231263386E-7</v>
      </c>
      <c r="DA141" s="142">
        <f>DA142/DA134</f>
        <v>1.0255002744647935E-2</v>
      </c>
      <c r="DB141" t="s">
        <v>82</v>
      </c>
    </row>
    <row r="142" spans="25:106" x14ac:dyDescent="0.35">
      <c r="BW142" s="6">
        <v>22.989768999999999</v>
      </c>
      <c r="BX142" t="s">
        <v>11</v>
      </c>
      <c r="BY142">
        <v>7720</v>
      </c>
      <c r="BZ142">
        <v>9800</v>
      </c>
      <c r="CA142" s="44">
        <f>H5</f>
        <v>10782.201660999999</v>
      </c>
      <c r="CB142" s="161">
        <f>-(100-100*BZ142/CA142)</f>
        <v>-9.1094721827796405</v>
      </c>
      <c r="CC142">
        <v>1.1599999999999999</v>
      </c>
      <c r="CD142">
        <f>DJ7</f>
        <v>1.02</v>
      </c>
      <c r="CE142" s="98">
        <f>DK7</f>
        <v>1.24</v>
      </c>
      <c r="CF142" s="2">
        <f t="shared" ref="CF142:CF151" si="66">BY142/BZ142</f>
        <v>0.78775510204081634</v>
      </c>
      <c r="CG142">
        <f>BY142*$BW$147/BW142/$BY$147*1000</f>
        <v>35.50990609164343</v>
      </c>
      <c r="CH142">
        <f>BZ142*$BW$147/BW142/$BZ$147*1000</f>
        <v>43805.929721529836</v>
      </c>
      <c r="CI142">
        <f>CG142/CH142</f>
        <v>8.1061870658553654E-4</v>
      </c>
      <c r="CJ142">
        <v>45666.991236611495</v>
      </c>
      <c r="CK142">
        <f t="shared" ref="CK142:CK149" si="67">CG142/CJ142</f>
        <v>7.7758365791295945E-4</v>
      </c>
      <c r="CL142">
        <f t="shared" ref="CL142:CL149" si="68">LOG(CF142,10)</f>
        <v>-0.10360877535675869</v>
      </c>
      <c r="CQ142" s="6" t="s">
        <v>158</v>
      </c>
      <c r="CR142" s="6" t="s">
        <v>158</v>
      </c>
      <c r="CY142">
        <v>65.38</v>
      </c>
      <c r="CZ142">
        <f>CZ139</f>
        <v>1.4000000000000001E-5</v>
      </c>
      <c r="DA142">
        <f>DA139</f>
        <v>0.41099999999999998</v>
      </c>
      <c r="DB142" t="s">
        <v>269</v>
      </c>
    </row>
    <row r="143" spans="25:106" x14ac:dyDescent="0.35">
      <c r="BW143">
        <v>39.098300000000002</v>
      </c>
      <c r="BX143" t="s">
        <v>14</v>
      </c>
      <c r="BY143">
        <v>78</v>
      </c>
      <c r="BZ143">
        <v>490</v>
      </c>
      <c r="CA143" s="44">
        <f>H8</f>
        <v>398.80266</v>
      </c>
      <c r="CB143" s="161">
        <f t="shared" ref="CB143:CB151" si="69">-(100-100*BZ143/CA143)</f>
        <v>22.867786288085441</v>
      </c>
      <c r="CC143">
        <v>1.52</v>
      </c>
      <c r="CD143">
        <f>DJ10</f>
        <v>1.38</v>
      </c>
      <c r="CE143" s="98">
        <f>DK10</f>
        <v>1.55</v>
      </c>
      <c r="CF143" s="2">
        <f t="shared" si="66"/>
        <v>0.15918367346938775</v>
      </c>
      <c r="CG143">
        <f t="shared" ref="CG143:CG149" si="70">BY143*$BW$147/BW143/$BY$147*1000</f>
        <v>0.21096167209477973</v>
      </c>
      <c r="CH143">
        <f t="shared" ref="CH143:CH149" si="71">BZ143*$BW$147/BW143/$BZ$147*1000</f>
        <v>1287.8925747771707</v>
      </c>
      <c r="CI143">
        <f t="shared" ref="CI143:CI149" si="72">CG143/CH143</f>
        <v>1.6380378008723284E-4</v>
      </c>
      <c r="CJ143">
        <v>993.18403115871467</v>
      </c>
      <c r="CK143">
        <f t="shared" si="67"/>
        <v>2.1240944827582235E-4</v>
      </c>
      <c r="CL143">
        <f t="shared" si="68"/>
        <v>-0.79810147733803327</v>
      </c>
      <c r="CQ143">
        <f>CQ141*1000</f>
        <v>1.4747826086956521</v>
      </c>
      <c r="CR143">
        <f>CR141*1000</f>
        <v>0.46086956521739125</v>
      </c>
    </row>
    <row r="144" spans="25:106" x14ac:dyDescent="0.35">
      <c r="BW144" s="6">
        <v>24.305</v>
      </c>
      <c r="BX144" t="s">
        <v>12</v>
      </c>
      <c r="BY144">
        <v>190</v>
      </c>
      <c r="BZ144">
        <v>1200</v>
      </c>
      <c r="CA144" s="44">
        <f>H6</f>
        <v>1280.8734999999999</v>
      </c>
      <c r="CB144" s="161">
        <f t="shared" si="69"/>
        <v>-6.3139334212160634</v>
      </c>
      <c r="CC144">
        <v>0.86</v>
      </c>
      <c r="CD144">
        <f>DJ8</f>
        <v>0.72</v>
      </c>
      <c r="CE144" s="98">
        <f>DK8</f>
        <v>0.89</v>
      </c>
      <c r="CF144" s="2">
        <f t="shared" si="66"/>
        <v>0.15833333333333333</v>
      </c>
      <c r="CG144">
        <f t="shared" si="70"/>
        <v>0.82665597000302349</v>
      </c>
      <c r="CH144">
        <f t="shared" si="71"/>
        <v>5073.7265203424431</v>
      </c>
      <c r="CI144">
        <f t="shared" si="72"/>
        <v>1.6292875989445913E-4</v>
      </c>
      <c r="CJ144">
        <v>5131.4508276533597</v>
      </c>
      <c r="CK144">
        <f t="shared" si="67"/>
        <v>1.6109595468559868E-4</v>
      </c>
      <c r="CL144">
        <f t="shared" si="68"/>
        <v>-0.8004276450947958</v>
      </c>
    </row>
    <row r="145" spans="75:102" x14ac:dyDescent="0.35">
      <c r="BW145" s="6">
        <v>65.38</v>
      </c>
      <c r="BX145" t="s">
        <v>16</v>
      </c>
      <c r="BY145">
        <v>7.7</v>
      </c>
      <c r="BZ145">
        <v>12.5</v>
      </c>
      <c r="CA145" s="15">
        <f>H10</f>
        <v>3.5305200000000002E-4</v>
      </c>
      <c r="CB145" s="161">
        <f t="shared" si="69"/>
        <v>3540454.9324178873</v>
      </c>
      <c r="CC145">
        <v>0.88</v>
      </c>
      <c r="CD145">
        <f>DJ12</f>
        <v>0.74</v>
      </c>
      <c r="CE145" s="98">
        <f>DK12</f>
        <v>0.9</v>
      </c>
      <c r="CF145" s="2">
        <f t="shared" si="66"/>
        <v>0.61599999999999999</v>
      </c>
      <c r="CG145">
        <f t="shared" si="70"/>
        <v>1.2454108354567697E-2</v>
      </c>
      <c r="CH145">
        <f t="shared" si="71"/>
        <v>19.647465311276878</v>
      </c>
      <c r="CI145">
        <f t="shared" si="72"/>
        <v>6.3387862796833764E-4</v>
      </c>
      <c r="CJ145">
        <v>5.2580331061343724E-4</v>
      </c>
      <c r="CK145">
        <f t="shared" si="67"/>
        <v>23.68586903729819</v>
      </c>
      <c r="CL145">
        <f t="shared" si="68"/>
        <v>-0.21041928783557454</v>
      </c>
    </row>
    <row r="146" spans="75:102" x14ac:dyDescent="0.35">
      <c r="BW146">
        <v>54.938043999999998</v>
      </c>
      <c r="BX146" t="s">
        <v>15</v>
      </c>
      <c r="BY146">
        <v>7</v>
      </c>
      <c r="BZ146">
        <v>0.18</v>
      </c>
      <c r="CA146" s="15">
        <f>H9</f>
        <v>1.9777695839999997E-5</v>
      </c>
      <c r="CB146" s="161">
        <f t="shared" si="69"/>
        <v>910016.13009010674</v>
      </c>
      <c r="CC146">
        <v>0.97</v>
      </c>
      <c r="CD146">
        <f>DJ11</f>
        <v>0.83</v>
      </c>
      <c r="CE146" s="98">
        <f>DK11</f>
        <v>0.83</v>
      </c>
      <c r="CF146" s="38">
        <f t="shared" si="66"/>
        <v>38.888888888888893</v>
      </c>
      <c r="CG146">
        <f t="shared" si="70"/>
        <v>1.3473849067665388E-2</v>
      </c>
      <c r="CH146">
        <f t="shared" si="71"/>
        <v>0.33669816241616579</v>
      </c>
      <c r="CI146">
        <f t="shared" si="72"/>
        <v>4.001759014951628E-2</v>
      </c>
      <c r="CJ146">
        <v>3.5053554040895808E-5</v>
      </c>
      <c r="CK146">
        <f t="shared" si="67"/>
        <v>384.37897201367656</v>
      </c>
      <c r="CL146">
        <f t="shared" si="68"/>
        <v>1.5898255349109507</v>
      </c>
      <c r="CO146" t="s">
        <v>254</v>
      </c>
      <c r="CP146" s="6" t="s">
        <v>289</v>
      </c>
      <c r="CQ146" s="6" t="s">
        <v>20</v>
      </c>
      <c r="CR146" s="6" t="s">
        <v>287</v>
      </c>
    </row>
    <row r="147" spans="75:102" x14ac:dyDescent="0.35">
      <c r="BW147">
        <v>40.078000000000003</v>
      </c>
      <c r="BX147" t="s">
        <v>20</v>
      </c>
      <c r="BY147">
        <v>379000</v>
      </c>
      <c r="BZ147">
        <v>390</v>
      </c>
      <c r="CA147" s="44">
        <f>H3</f>
        <v>411.60106000000002</v>
      </c>
      <c r="CB147" s="161">
        <f t="shared" si="69"/>
        <v>-5.2480574272573648</v>
      </c>
      <c r="CC147">
        <v>1.1399999999999999</v>
      </c>
      <c r="CD147">
        <f>DJ16</f>
        <v>1</v>
      </c>
      <c r="CE147" s="98">
        <f>DK16</f>
        <v>1.18</v>
      </c>
      <c r="CF147" s="44">
        <f t="shared" si="66"/>
        <v>971.79487179487182</v>
      </c>
      <c r="CG147">
        <f t="shared" si="70"/>
        <v>1000</v>
      </c>
      <c r="CH147">
        <f t="shared" si="71"/>
        <v>1000</v>
      </c>
      <c r="CI147">
        <f t="shared" si="72"/>
        <v>1</v>
      </c>
      <c r="CJ147">
        <v>1000</v>
      </c>
      <c r="CK147">
        <f t="shared" si="67"/>
        <v>1</v>
      </c>
      <c r="CL147">
        <f t="shared" si="68"/>
        <v>2.9875746029415726</v>
      </c>
      <c r="CO147" t="s">
        <v>175</v>
      </c>
      <c r="CP147" s="6">
        <f>CQ143*CO123*CQ147/CO124/1000</f>
        <v>963.38526033538938</v>
      </c>
      <c r="CQ147" s="6">
        <v>400436</v>
      </c>
      <c r="CR147">
        <f>CR143*CO123*CQ137/CO124/1000</f>
        <v>0.13860560000000002</v>
      </c>
    </row>
    <row r="148" spans="75:102" x14ac:dyDescent="0.35">
      <c r="BW148">
        <v>87.62</v>
      </c>
      <c r="BX148" t="s">
        <v>17</v>
      </c>
      <c r="BY148">
        <v>940</v>
      </c>
      <c r="BZ148">
        <v>6.7</v>
      </c>
      <c r="CA148" s="44">
        <f>H11</f>
        <v>7.7981800000000003</v>
      </c>
      <c r="CB148" s="161">
        <f t="shared" si="69"/>
        <v>-14.082516689791731</v>
      </c>
      <c r="CC148">
        <v>1.32</v>
      </c>
      <c r="CD148">
        <f>DJ13</f>
        <v>1.18</v>
      </c>
      <c r="CE148" s="98">
        <f>DK13</f>
        <v>1.31</v>
      </c>
      <c r="CF148" s="44">
        <f t="shared" si="66"/>
        <v>140.29850746268656</v>
      </c>
      <c r="CG148">
        <f t="shared" si="70"/>
        <v>1.1344658723595955</v>
      </c>
      <c r="CH148">
        <f t="shared" si="71"/>
        <v>7.8580174295764333</v>
      </c>
      <c r="CI148">
        <f t="shared" si="72"/>
        <v>0.14437049580593078</v>
      </c>
      <c r="CJ148">
        <v>8.6660175267770203</v>
      </c>
      <c r="CK148">
        <f t="shared" si="67"/>
        <v>0.13090971358576456</v>
      </c>
      <c r="CL148">
        <f t="shared" si="68"/>
        <v>2.1470530508988719</v>
      </c>
      <c r="CO148" t="s">
        <v>158</v>
      </c>
      <c r="CP148" s="6">
        <f>CP147*CO124/CO123/CQ147*1000</f>
        <v>1.4747826086956524</v>
      </c>
      <c r="CQ148" s="6"/>
      <c r="CR148" s="6">
        <f>CR147*CO124/CO123/CQ137*1000</f>
        <v>0.46086956521739131</v>
      </c>
    </row>
    <row r="149" spans="75:102" x14ac:dyDescent="0.35">
      <c r="BW149">
        <v>6.9409999999999998</v>
      </c>
      <c r="BX149" t="s">
        <v>55</v>
      </c>
      <c r="BY149">
        <v>0.2</v>
      </c>
      <c r="BZ149">
        <v>0.2</v>
      </c>
      <c r="CA149" s="2">
        <f>H14</f>
        <v>0.17977189999999998</v>
      </c>
      <c r="CB149" s="161">
        <f t="shared" si="69"/>
        <v>11.2520922346596</v>
      </c>
      <c r="CC149">
        <v>0.9</v>
      </c>
      <c r="CD149">
        <f>DJ17</f>
        <v>0.76</v>
      </c>
      <c r="CE149" s="98">
        <f>DK17</f>
        <v>0.76</v>
      </c>
      <c r="CF149" s="44">
        <f t="shared" si="66"/>
        <v>1</v>
      </c>
      <c r="CG149">
        <f t="shared" si="70"/>
        <v>3.0470163332939264E-3</v>
      </c>
      <c r="CH149">
        <f t="shared" si="71"/>
        <v>2.9610748469702521</v>
      </c>
      <c r="CI149">
        <f t="shared" si="72"/>
        <v>1.0290237467018468E-3</v>
      </c>
      <c r="CJ149">
        <v>2.5219084712755597</v>
      </c>
      <c r="CK149">
        <f t="shared" si="67"/>
        <v>1.2082184456729198E-3</v>
      </c>
      <c r="CL149">
        <f t="shared" si="68"/>
        <v>0</v>
      </c>
      <c r="CR149" s="6"/>
    </row>
    <row r="150" spans="75:102" x14ac:dyDescent="0.35">
      <c r="BX150" t="s">
        <v>344</v>
      </c>
      <c r="BY150">
        <v>0.4</v>
      </c>
      <c r="BZ150">
        <v>0.19</v>
      </c>
      <c r="CA150" s="142">
        <f>H17</f>
        <v>1.5251039999999999E-4</v>
      </c>
      <c r="CB150" s="161">
        <f t="shared" si="69"/>
        <v>124481.66787314178</v>
      </c>
      <c r="CF150" s="2">
        <f t="shared" si="66"/>
        <v>2.1052631578947367</v>
      </c>
      <c r="CP150" t="s">
        <v>70</v>
      </c>
      <c r="CQ150" t="s">
        <v>241</v>
      </c>
      <c r="CR150" s="6"/>
    </row>
    <row r="151" spans="75:102" x14ac:dyDescent="0.35">
      <c r="BX151" t="s">
        <v>345</v>
      </c>
      <c r="BY151">
        <v>5.5</v>
      </c>
      <c r="BZ151">
        <v>0.71</v>
      </c>
      <c r="CA151" s="142">
        <f>H18</f>
        <v>3.0157379999999999E-5</v>
      </c>
      <c r="CB151" s="161">
        <f t="shared" si="69"/>
        <v>2354215.9253224251</v>
      </c>
      <c r="CF151" s="2">
        <f t="shared" si="66"/>
        <v>7.746478873239437</v>
      </c>
      <c r="CP151">
        <f>CQ143/CR143</f>
        <v>3.2</v>
      </c>
      <c r="CQ151">
        <f>CP147/CP137</f>
        <v>6950.5507738171427</v>
      </c>
      <c r="CX151" s="145">
        <v>0.1</v>
      </c>
    </row>
    <row r="154" spans="75:102" x14ac:dyDescent="0.35">
      <c r="CB154">
        <f t="shared" ref="CB154:CB157" si="73">CB142/100</f>
        <v>-9.1094721827796404E-2</v>
      </c>
    </row>
    <row r="155" spans="75:102" x14ac:dyDescent="0.35">
      <c r="CB155">
        <f t="shared" si="73"/>
        <v>0.2286778628808544</v>
      </c>
    </row>
    <row r="156" spans="75:102" x14ac:dyDescent="0.35">
      <c r="CB156">
        <f t="shared" si="73"/>
        <v>-6.3139334212160628E-2</v>
      </c>
    </row>
    <row r="157" spans="75:102" x14ac:dyDescent="0.35">
      <c r="CB157">
        <f t="shared" si="73"/>
        <v>35404.549324178872</v>
      </c>
    </row>
    <row r="158" spans="75:102" x14ac:dyDescent="0.35">
      <c r="CB158">
        <f>CB146/100</f>
        <v>9100.1613009010671</v>
      </c>
    </row>
    <row r="159" spans="75:102" x14ac:dyDescent="0.35">
      <c r="CB159">
        <f t="shared" ref="CB159:CB162" si="74">CB147/100</f>
        <v>-5.2480574272573646E-2</v>
      </c>
    </row>
    <row r="160" spans="75:102" x14ac:dyDescent="0.35">
      <c r="CB160">
        <f t="shared" si="74"/>
        <v>-0.14082516689791733</v>
      </c>
    </row>
    <row r="161" spans="80:80" x14ac:dyDescent="0.35">
      <c r="CB161">
        <f t="shared" si="74"/>
        <v>0.112520922346596</v>
      </c>
    </row>
    <row r="162" spans="80:80" x14ac:dyDescent="0.35">
      <c r="CB162">
        <f t="shared" si="74"/>
        <v>1244.8166787314178</v>
      </c>
    </row>
    <row r="163" spans="80:80" x14ac:dyDescent="0.35">
      <c r="CB163">
        <f>CB151/100</f>
        <v>23542.15925322425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8AD56-A936-421E-90D1-ECDC31443DA2}">
  <dimension ref="A1:H15"/>
  <sheetViews>
    <sheetView workbookViewId="0">
      <selection activeCell="D15" sqref="D15"/>
    </sheetView>
  </sheetViews>
  <sheetFormatPr defaultRowHeight="14.5" x14ac:dyDescent="0.35"/>
  <cols>
    <col min="1" max="1" width="13.08984375" customWidth="1"/>
    <col min="2" max="2" width="8.08984375" bestFit="1" customWidth="1"/>
    <col min="3" max="3" width="22.26953125" bestFit="1" customWidth="1"/>
    <col min="4" max="4" width="28" bestFit="1" customWidth="1"/>
    <col min="6" max="6" width="14.6328125" style="2" bestFit="1" customWidth="1"/>
    <col min="7" max="7" width="15.08984375" style="44" bestFit="1" customWidth="1"/>
    <col min="8" max="8" width="16" bestFit="1" customWidth="1"/>
  </cols>
  <sheetData>
    <row r="1" spans="1:8" x14ac:dyDescent="0.35">
      <c r="A1" t="s">
        <v>381</v>
      </c>
      <c r="B1" t="s">
        <v>382</v>
      </c>
      <c r="C1" t="s">
        <v>383</v>
      </c>
      <c r="F1" s="2" t="s">
        <v>384</v>
      </c>
      <c r="G1" s="44" t="s">
        <v>385</v>
      </c>
      <c r="H1" t="s">
        <v>386</v>
      </c>
    </row>
    <row r="2" spans="1:8" x14ac:dyDescent="0.35">
      <c r="A2" t="s">
        <v>401</v>
      </c>
      <c r="E2" t="s">
        <v>404</v>
      </c>
    </row>
    <row r="3" spans="1:8" s="150" customFormat="1" x14ac:dyDescent="0.35">
      <c r="A3" s="150" t="s">
        <v>387</v>
      </c>
      <c r="B3" s="171">
        <v>41141</v>
      </c>
      <c r="C3" s="150" t="s">
        <v>390</v>
      </c>
      <c r="D3" s="150" t="s">
        <v>409</v>
      </c>
      <c r="E3" s="150" t="s">
        <v>388</v>
      </c>
      <c r="F3" s="172">
        <v>7.1476580912863064</v>
      </c>
      <c r="G3" s="173">
        <v>402.00351867219911</v>
      </c>
      <c r="H3" s="172">
        <f>F3*40.078/87.62/G3*1000</f>
        <v>8.1327366139686674</v>
      </c>
    </row>
    <row r="4" spans="1:8" s="40" customFormat="1" x14ac:dyDescent="0.35">
      <c r="A4" s="40" t="s">
        <v>389</v>
      </c>
      <c r="B4" s="169">
        <v>41142</v>
      </c>
      <c r="C4" s="40" t="s">
        <v>390</v>
      </c>
      <c r="D4" s="40" t="s">
        <v>407</v>
      </c>
      <c r="E4" s="40" t="s">
        <v>391</v>
      </c>
      <c r="F4" s="170">
        <v>6.9745804878048769</v>
      </c>
      <c r="G4" s="143">
        <v>392.65447967479673</v>
      </c>
      <c r="H4" s="170">
        <f t="shared" ref="H4:H7" si="0">F4*40.078/87.62/G4*1000</f>
        <v>8.1247559767129793</v>
      </c>
    </row>
    <row r="5" spans="1:8" s="87" customFormat="1" x14ac:dyDescent="0.35">
      <c r="A5" s="87" t="s">
        <v>392</v>
      </c>
      <c r="B5" s="167">
        <v>41142</v>
      </c>
      <c r="C5" s="87" t="s">
        <v>405</v>
      </c>
      <c r="D5" s="87" t="s">
        <v>407</v>
      </c>
      <c r="E5" s="87" t="s">
        <v>393</v>
      </c>
      <c r="F5" s="168">
        <v>6.9701485714285729</v>
      </c>
      <c r="G5" s="174">
        <v>393.97935020408164</v>
      </c>
      <c r="H5" s="168">
        <f t="shared" si="0"/>
        <v>8.0922886932101523</v>
      </c>
    </row>
    <row r="6" spans="1:8" s="150" customFormat="1" x14ac:dyDescent="0.35">
      <c r="A6" s="150" t="s">
        <v>394</v>
      </c>
      <c r="B6" s="171">
        <v>41142</v>
      </c>
      <c r="C6" s="150" t="s">
        <v>390</v>
      </c>
      <c r="D6" s="150" t="s">
        <v>408</v>
      </c>
      <c r="E6" s="150" t="s">
        <v>388</v>
      </c>
      <c r="F6" s="172">
        <v>6.8703999999999992</v>
      </c>
      <c r="G6" s="173">
        <v>386.4700444444444</v>
      </c>
      <c r="H6" s="172">
        <f t="shared" si="0"/>
        <v>8.1314683839113897</v>
      </c>
    </row>
    <row r="7" spans="1:8" s="87" customFormat="1" x14ac:dyDescent="0.35">
      <c r="A7" s="87" t="s">
        <v>395</v>
      </c>
      <c r="B7" s="167">
        <v>41142</v>
      </c>
      <c r="C7" s="87" t="s">
        <v>405</v>
      </c>
      <c r="D7" s="87" t="s">
        <v>408</v>
      </c>
      <c r="E7" s="87" t="s">
        <v>393</v>
      </c>
      <c r="F7" s="168">
        <v>6.9242105263157905</v>
      </c>
      <c r="G7" s="174">
        <v>387.61238866396764</v>
      </c>
      <c r="H7" s="168">
        <f t="shared" si="0"/>
        <v>8.1710036906538015</v>
      </c>
    </row>
    <row r="10" spans="1:8" x14ac:dyDescent="0.35">
      <c r="A10" t="s">
        <v>402</v>
      </c>
    </row>
    <row r="11" spans="1:8" s="87" customFormat="1" x14ac:dyDescent="0.35">
      <c r="A11" s="87" t="s">
        <v>396</v>
      </c>
      <c r="C11" s="87" t="s">
        <v>405</v>
      </c>
      <c r="D11" s="87" t="s">
        <v>406</v>
      </c>
      <c r="E11" s="87" t="s">
        <v>403</v>
      </c>
      <c r="F11" s="168">
        <v>5.9029999999999996</v>
      </c>
      <c r="G11" s="174">
        <v>304.38499999999999</v>
      </c>
      <c r="H11" s="168">
        <f>F11*40.078/87.62/G11*1000</f>
        <v>8.870586365042886</v>
      </c>
    </row>
    <row r="12" spans="1:8" s="87" customFormat="1" x14ac:dyDescent="0.35">
      <c r="A12" s="87" t="s">
        <v>397</v>
      </c>
      <c r="C12" s="87" t="s">
        <v>405</v>
      </c>
      <c r="D12" s="87" t="s">
        <v>406</v>
      </c>
      <c r="E12" s="87" t="s">
        <v>403</v>
      </c>
      <c r="F12" s="168">
        <v>6.13</v>
      </c>
      <c r="G12" s="174">
        <v>309.89699999999999</v>
      </c>
      <c r="H12" s="168">
        <f t="shared" ref="H12:H15" si="1">F12*40.078/87.62/G12*1000</f>
        <v>9.0478604705821528</v>
      </c>
    </row>
    <row r="13" spans="1:8" s="87" customFormat="1" x14ac:dyDescent="0.35">
      <c r="A13" s="87" t="s">
        <v>398</v>
      </c>
      <c r="C13" s="87" t="s">
        <v>405</v>
      </c>
      <c r="D13" s="87" t="s">
        <v>406</v>
      </c>
      <c r="E13" s="87" t="s">
        <v>403</v>
      </c>
      <c r="F13" s="168">
        <v>6.492</v>
      </c>
      <c r="G13" s="174">
        <v>313.642</v>
      </c>
      <c r="H13" s="168">
        <f t="shared" si="1"/>
        <v>9.4677566930316033</v>
      </c>
    </row>
    <row r="14" spans="1:8" s="87" customFormat="1" x14ac:dyDescent="0.35">
      <c r="A14" s="87" t="s">
        <v>399</v>
      </c>
      <c r="C14" s="87" t="s">
        <v>405</v>
      </c>
      <c r="D14" s="87" t="s">
        <v>406</v>
      </c>
      <c r="E14" s="87" t="s">
        <v>403</v>
      </c>
      <c r="F14" s="168">
        <v>5.92</v>
      </c>
      <c r="G14" s="174">
        <v>292.53500000000003</v>
      </c>
      <c r="H14" s="168">
        <f t="shared" si="1"/>
        <v>9.2564969985252787</v>
      </c>
    </row>
    <row r="15" spans="1:8" s="87" customFormat="1" x14ac:dyDescent="0.35">
      <c r="A15" s="87" t="s">
        <v>400</v>
      </c>
      <c r="C15" s="87" t="s">
        <v>405</v>
      </c>
      <c r="D15" s="87" t="s">
        <v>406</v>
      </c>
      <c r="E15" s="87" t="s">
        <v>403</v>
      </c>
      <c r="F15" s="168">
        <v>5.5579999999999998</v>
      </c>
      <c r="G15" s="174">
        <v>295.39600000000002</v>
      </c>
      <c r="H15" s="168">
        <f t="shared" si="1"/>
        <v>8.6063048280943946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Lattice strain model etc.</vt:lpstr>
      <vt:lpstr>Metadata</vt:lpstr>
      <vt:lpstr>SrCa data seawater Iceland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Schöne, Bernd R.</dc:creator>
  <cp:lastModifiedBy>Schöne, Bernd R.</cp:lastModifiedBy>
  <dcterms:created xsi:type="dcterms:W3CDTF">2022-04-28T12:56:40Z</dcterms:created>
  <dcterms:modified xsi:type="dcterms:W3CDTF">2022-06-21T09:10:52Z</dcterms:modified>
</cp:coreProperties>
</file>